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https://mmlleague.sharepoint.com/sites/PolicyResearchLabsStorage/Shared Documents/Projects/Serve MI City/Member Technical Assistance/"/>
    </mc:Choice>
  </mc:AlternateContent>
  <xr:revisionPtr revIDLastSave="4" documentId="8_{6D288014-8042-4582-A345-63481F5F1B3C}" xr6:coauthVersionLast="47" xr6:coauthVersionMax="47" xr10:uidLastSave="{63746C87-826F-4C54-8FB7-B549B875A6ED}"/>
  <bookViews>
    <workbookView xWindow="-108" yWindow="-108" windowWidth="23256" windowHeight="12576" xr2:uid="{00000000-000D-0000-FFFF-FFFF00000000}"/>
  </bookViews>
  <sheets>
    <sheet name="Grant Writer Roster" sheetId="2" r:id="rId1"/>
    <sheet name="Dropdown lists" sheetId="3" state="hidden" r:id="rId2"/>
  </sheets>
  <definedNames>
    <definedName name="_xlnm._FilterDatabase" localSheetId="0" hidden="1">'Grant Writer Roster'!$B$4:$U$5</definedName>
    <definedName name="Z_22FA5853_0C77_41C2_9510_65A8AD1942F6_.wvu.FilterData" localSheetId="1" hidden="1">'Dropdown lists'!$A$1:$K$24</definedName>
  </definedNames>
  <calcPr calcId="191029"/>
  <customWorkbookViews>
    <customWorkbookView name="Filter 1" guid="{22FA5853-0C77-41C2-9510-65A8AD1942F6}" maximized="1" windowWidth="0" windowHeight="0" activeSheetId="0"/>
    <customWorkbookView name="Filter 2" guid="{B97BC736-FE71-4CE8-8B90-D9C5B69F48F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2" l="1"/>
  <c r="T21" i="2"/>
  <c r="S21" i="2"/>
  <c r="P21" i="2"/>
  <c r="O21" i="2"/>
  <c r="N21" i="2"/>
  <c r="M21" i="2"/>
  <c r="L21" i="2"/>
  <c r="K21" i="2"/>
  <c r="J21" i="2"/>
  <c r="I21" i="2"/>
  <c r="H21" i="2"/>
  <c r="E21" i="2"/>
  <c r="D21" i="2"/>
  <c r="C21" i="2"/>
  <c r="B21" i="2"/>
  <c r="U20" i="2"/>
  <c r="T20" i="2"/>
  <c r="S20" i="2"/>
  <c r="P20" i="2"/>
  <c r="O20" i="2"/>
  <c r="N20" i="2"/>
  <c r="M20" i="2"/>
  <c r="L20" i="2"/>
  <c r="K20" i="2"/>
  <c r="J20" i="2"/>
  <c r="I20" i="2"/>
  <c r="H20" i="2"/>
  <c r="E20" i="2"/>
  <c r="D20" i="2"/>
  <c r="C20" i="2"/>
  <c r="B20" i="2"/>
  <c r="U19" i="2"/>
  <c r="T19" i="2"/>
  <c r="S19" i="2"/>
  <c r="P19" i="2"/>
  <c r="O19" i="2"/>
  <c r="N19" i="2"/>
  <c r="M19" i="2"/>
  <c r="L19" i="2"/>
  <c r="K19" i="2"/>
  <c r="J19" i="2"/>
  <c r="I19" i="2"/>
  <c r="H19" i="2"/>
  <c r="E19" i="2"/>
  <c r="D19" i="2"/>
  <c r="C19" i="2"/>
  <c r="B19" i="2"/>
  <c r="U18" i="2"/>
  <c r="T18" i="2"/>
  <c r="S18" i="2"/>
  <c r="P18" i="2"/>
  <c r="O18" i="2"/>
  <c r="N18" i="2"/>
  <c r="M18" i="2"/>
  <c r="K18" i="2"/>
  <c r="J18" i="2"/>
  <c r="I18" i="2"/>
  <c r="H18" i="2"/>
  <c r="E18" i="2"/>
  <c r="D18" i="2"/>
  <c r="C18" i="2"/>
  <c r="B18" i="2"/>
  <c r="U17" i="2"/>
  <c r="T17" i="2"/>
  <c r="S17" i="2"/>
  <c r="P17" i="2"/>
  <c r="O17" i="2"/>
  <c r="N17" i="2"/>
  <c r="M17" i="2"/>
  <c r="L17" i="2"/>
  <c r="K17" i="2"/>
  <c r="J17" i="2"/>
  <c r="I17" i="2"/>
  <c r="H17" i="2"/>
  <c r="E17" i="2"/>
  <c r="D17" i="2"/>
  <c r="C17" i="2"/>
  <c r="B17" i="2"/>
  <c r="U16" i="2"/>
  <c r="T16" i="2"/>
  <c r="S16" i="2"/>
  <c r="P16" i="2"/>
  <c r="O16" i="2"/>
  <c r="N16" i="2"/>
  <c r="M16" i="2"/>
  <c r="L16" i="2"/>
  <c r="K16" i="2"/>
  <c r="J16" i="2"/>
  <c r="I16" i="2"/>
  <c r="H16" i="2"/>
  <c r="E16" i="2"/>
  <c r="D16" i="2"/>
  <c r="C16" i="2"/>
  <c r="B16" i="2"/>
  <c r="U15" i="2"/>
  <c r="T15" i="2"/>
  <c r="S15" i="2"/>
  <c r="P15" i="2"/>
  <c r="O15" i="2"/>
  <c r="N15" i="2"/>
  <c r="M15" i="2"/>
  <c r="L15" i="2"/>
  <c r="K15" i="2"/>
  <c r="J15" i="2"/>
  <c r="I15" i="2"/>
  <c r="H15" i="2"/>
  <c r="E15" i="2"/>
  <c r="D15" i="2"/>
  <c r="C15" i="2"/>
  <c r="B15" i="2"/>
  <c r="U14" i="2"/>
  <c r="T14" i="2"/>
  <c r="S14" i="2"/>
  <c r="P14" i="2"/>
  <c r="O14" i="2"/>
  <c r="N14" i="2"/>
  <c r="M14" i="2"/>
  <c r="L14" i="2"/>
  <c r="K14" i="2"/>
  <c r="J14" i="2"/>
  <c r="I14" i="2"/>
  <c r="H14" i="2"/>
  <c r="E14" i="2"/>
  <c r="D14" i="2"/>
  <c r="C14" i="2"/>
  <c r="B14" i="2"/>
  <c r="U13" i="2"/>
  <c r="T13" i="2"/>
  <c r="S13" i="2"/>
  <c r="P13" i="2"/>
  <c r="O13" i="2"/>
  <c r="N13" i="2"/>
  <c r="M13" i="2"/>
  <c r="K13" i="2"/>
  <c r="J13" i="2"/>
  <c r="I13" i="2"/>
  <c r="H13" i="2"/>
  <c r="E13" i="2"/>
  <c r="D13" i="2"/>
  <c r="C13" i="2"/>
  <c r="B13" i="2"/>
  <c r="U12" i="2"/>
  <c r="T12" i="2"/>
  <c r="S12" i="2"/>
  <c r="P12" i="2"/>
  <c r="O12" i="2"/>
  <c r="N12" i="2"/>
  <c r="M12" i="2"/>
  <c r="L12" i="2"/>
  <c r="K12" i="2"/>
  <c r="J12" i="2"/>
  <c r="I12" i="2"/>
  <c r="H12" i="2"/>
  <c r="E12" i="2"/>
  <c r="D12" i="2"/>
  <c r="C12" i="2"/>
  <c r="B12" i="2"/>
  <c r="U11" i="2"/>
  <c r="T11" i="2"/>
  <c r="S11" i="2"/>
  <c r="P11" i="2"/>
  <c r="O11" i="2"/>
  <c r="N11" i="2"/>
  <c r="M11" i="2"/>
  <c r="K11" i="2"/>
  <c r="J11" i="2"/>
  <c r="I11" i="2"/>
  <c r="H11" i="2"/>
  <c r="E11" i="2"/>
  <c r="D11" i="2"/>
  <c r="C11" i="2"/>
  <c r="B11" i="2"/>
  <c r="Y10" i="2"/>
  <c r="X10" i="2"/>
  <c r="W10" i="2"/>
  <c r="V10" i="2"/>
  <c r="U10" i="2"/>
  <c r="T10" i="2"/>
  <c r="S10" i="2"/>
  <c r="P10" i="2"/>
  <c r="O10" i="2"/>
  <c r="N10" i="2"/>
  <c r="M10" i="2"/>
  <c r="L10" i="2"/>
  <c r="K10" i="2"/>
  <c r="J10" i="2"/>
  <c r="I10" i="2"/>
  <c r="H10" i="2"/>
  <c r="G10" i="2"/>
  <c r="F10" i="2"/>
  <c r="E10" i="2"/>
  <c r="D10" i="2"/>
  <c r="C10" i="2"/>
  <c r="B10" i="2"/>
  <c r="A10" i="2"/>
  <c r="Y9" i="2"/>
  <c r="X9" i="2"/>
  <c r="W9" i="2"/>
  <c r="V9" i="2"/>
  <c r="T9" i="2"/>
  <c r="S9" i="2"/>
  <c r="P9" i="2"/>
  <c r="O9" i="2"/>
  <c r="N9" i="2"/>
  <c r="M9" i="2"/>
  <c r="K9" i="2"/>
  <c r="J9" i="2"/>
  <c r="I9" i="2"/>
  <c r="H9" i="2"/>
  <c r="G9" i="2"/>
  <c r="F9" i="2"/>
  <c r="E9" i="2"/>
  <c r="D9" i="2"/>
  <c r="C9" i="2"/>
  <c r="B9" i="2"/>
  <c r="A9" i="2"/>
  <c r="X8" i="2"/>
  <c r="U8" i="2"/>
  <c r="T8" i="2"/>
  <c r="S8" i="2"/>
  <c r="Q8" i="2"/>
  <c r="P8" i="2"/>
  <c r="O8" i="2"/>
  <c r="N8" i="2"/>
  <c r="M8" i="2"/>
  <c r="L8" i="2"/>
  <c r="K8" i="2"/>
  <c r="J8" i="2"/>
  <c r="I8" i="2"/>
  <c r="H8" i="2"/>
  <c r="G8" i="2"/>
  <c r="F8" i="2"/>
  <c r="E8" i="2"/>
  <c r="D8" i="2"/>
  <c r="C8" i="2"/>
  <c r="B8" i="2"/>
  <c r="A8" i="2"/>
  <c r="X7" i="2"/>
  <c r="U7" i="2"/>
  <c r="T7" i="2"/>
  <c r="S7" i="2"/>
  <c r="Q7" i="2"/>
  <c r="P7" i="2"/>
  <c r="O7" i="2"/>
  <c r="N7" i="2"/>
  <c r="M7" i="2"/>
  <c r="L7" i="2"/>
  <c r="K7" i="2"/>
  <c r="J7" i="2"/>
  <c r="I7" i="2"/>
  <c r="H7" i="2"/>
  <c r="G7" i="2"/>
  <c r="F7" i="2"/>
  <c r="E7" i="2"/>
  <c r="D7" i="2"/>
  <c r="C7" i="2"/>
  <c r="B7" i="2"/>
  <c r="A7" i="2"/>
  <c r="Y6" i="2"/>
  <c r="X6" i="2"/>
  <c r="W6" i="2"/>
  <c r="V6" i="2"/>
  <c r="U6" i="2"/>
  <c r="T6" i="2"/>
  <c r="S6" i="2"/>
  <c r="R6" i="2"/>
  <c r="Q6" i="2"/>
  <c r="P6" i="2"/>
  <c r="O6" i="2"/>
  <c r="N6" i="2"/>
  <c r="M6" i="2"/>
  <c r="L6" i="2"/>
  <c r="K6" i="2"/>
  <c r="J6" i="2"/>
  <c r="I6" i="2"/>
  <c r="H6" i="2"/>
  <c r="G6" i="2"/>
  <c r="F6" i="2"/>
  <c r="E6" i="2"/>
  <c r="D6" i="2"/>
  <c r="C6" i="2"/>
  <c r="B6" i="2"/>
  <c r="A6" i="2"/>
</calcChain>
</file>

<file path=xl/sharedStrings.xml><?xml version="1.0" encoding="utf-8"?>
<sst xmlns="http://schemas.openxmlformats.org/spreadsheetml/2006/main" count="128" uniqueCount="124">
  <si>
    <t>Name</t>
  </si>
  <si>
    <t>City</t>
  </si>
  <si>
    <t>State</t>
  </si>
  <si>
    <t>Email Address</t>
  </si>
  <si>
    <t xml:space="preserve">Please select areas where you have strong expertise. </t>
  </si>
  <si>
    <t xml:space="preserve">How many years of experience do you have writing federal grant applications? </t>
  </si>
  <si>
    <t>What is the estimated total amount of funds you have secured from federal grants</t>
  </si>
  <si>
    <t xml:space="preserve">Are you applying to be part of this roster as an individual or an agency? </t>
  </si>
  <si>
    <t xml:space="preserve">Do you charge an hourly rate or a flat fee? </t>
  </si>
  <si>
    <t>Tucson</t>
  </si>
  <si>
    <t>AZ</t>
  </si>
  <si>
    <t>Yes</t>
  </si>
  <si>
    <t>No</t>
  </si>
  <si>
    <t>More than 10 years</t>
  </si>
  <si>
    <t>Individual</t>
  </si>
  <si>
    <t>Hourly rate</t>
  </si>
  <si>
    <t>Goodyear</t>
  </si>
  <si>
    <t>More than $20 million</t>
  </si>
  <si>
    <t>Agency</t>
  </si>
  <si>
    <t>Napa</t>
  </si>
  <si>
    <t>CA</t>
  </si>
  <si>
    <t>7-10 years</t>
  </si>
  <si>
    <t>Other</t>
  </si>
  <si>
    <t>IL</t>
  </si>
  <si>
    <t>GA</t>
  </si>
  <si>
    <t>4-6 years</t>
  </si>
  <si>
    <t>PA</t>
  </si>
  <si>
    <t>NC</t>
  </si>
  <si>
    <t>0-3 years</t>
  </si>
  <si>
    <t>VA</t>
  </si>
  <si>
    <t>DC</t>
  </si>
  <si>
    <t>TX</t>
  </si>
  <si>
    <t>MI</t>
  </si>
  <si>
    <t>LA</t>
  </si>
  <si>
    <t>AK</t>
  </si>
  <si>
    <t>Housing and Urban Development</t>
  </si>
  <si>
    <r>
      <rPr>
        <b/>
        <sz val="12"/>
        <color rgb="FF000000"/>
        <rFont val="Calibri"/>
      </rPr>
      <t xml:space="preserve">USER INSTRUCTIONS: </t>
    </r>
    <r>
      <rPr>
        <sz val="12"/>
        <color rgb="FF000000"/>
        <rFont val="Calibri"/>
      </rPr>
      <t>This is a searchable list of qualified grant writers from Michigan and across the United States. It is updated several times a month. Users may search by multiple criteria including grant writer’s experience with different federal agencies, experience with rural communities, years of experience, project type and area of expertise.</t>
    </r>
  </si>
  <si>
    <t xml:space="preserve"> Roster of Qualified Grant Writers</t>
  </si>
  <si>
    <t>To use this document, click on the filter icon in the toolbar and then the down-arrow icon in the row below (line 7) the category header name to search and filter data (i.e. type of project, area of expertise).</t>
  </si>
  <si>
    <t>Phone Number</t>
  </si>
  <si>
    <t>Experience Working in Rural Communities</t>
  </si>
  <si>
    <t>Experience Working in Rural Communities in Oregon</t>
  </si>
  <si>
    <t>Experience Securing Grants from Specific Federal Agencies</t>
  </si>
  <si>
    <t>Experience Securing Grants from Other Sources</t>
  </si>
  <si>
    <t>Experience by Funding Type</t>
  </si>
  <si>
    <t>Area of Expertise</t>
  </si>
  <si>
    <t>Year of Experience Writing Federal Grants</t>
  </si>
  <si>
    <t>Total Amount of Funding Secured from Federal Grants</t>
  </si>
  <si>
    <t>Entity Type</t>
  </si>
  <si>
    <t>Rate/Fee Structure</t>
  </si>
  <si>
    <t>Rate/Amount</t>
  </si>
  <si>
    <t>experience working with rural communities</t>
  </si>
  <si>
    <t>experience working with rural communities in specifically in Oregon</t>
  </si>
  <si>
    <t>Agencies</t>
  </si>
  <si>
    <t>projects/programs</t>
  </si>
  <si>
    <t>Cheney</t>
  </si>
  <si>
    <t>WA</t>
  </si>
  <si>
    <t>Department of Agriculture</t>
  </si>
  <si>
    <t>Planning grants</t>
  </si>
  <si>
    <t>Prospecting</t>
  </si>
  <si>
    <t>The Dalles</t>
  </si>
  <si>
    <t>OR</t>
  </si>
  <si>
    <t>Fish and Wildlife Service</t>
  </si>
  <si>
    <t>Infrastructure/Construction</t>
  </si>
  <si>
    <t>Assessing project readiness</t>
  </si>
  <si>
    <t>$11 million -$20 million</t>
  </si>
  <si>
    <t>Flat fee</t>
  </si>
  <si>
    <t>Salem</t>
  </si>
  <si>
    <t>Department of Veterans Affairs</t>
  </si>
  <si>
    <t>Non-construction/program</t>
  </si>
  <si>
    <t>New program development or expansion</t>
  </si>
  <si>
    <t>$6 million - $10 million</t>
  </si>
  <si>
    <t>Farmington</t>
  </si>
  <si>
    <t>NM</t>
  </si>
  <si>
    <t>Department of Transportation</t>
  </si>
  <si>
    <t>Capacity building</t>
  </si>
  <si>
    <t>Liaising with federal agency representatives</t>
  </si>
  <si>
    <t>$1 million- $5 million</t>
  </si>
  <si>
    <t>Department of the Interior</t>
  </si>
  <si>
    <t>Technical assistance</t>
  </si>
  <si>
    <t>Measurement and evaluation</t>
  </si>
  <si>
    <t>Less than $1 million</t>
  </si>
  <si>
    <t>Department of Labor</t>
  </si>
  <si>
    <t>Engaging diverse stakeholders to support an application</t>
  </si>
  <si>
    <t>variable</t>
  </si>
  <si>
    <t>Department of Justice</t>
  </si>
  <si>
    <t>Grants.gov navigation and submission</t>
  </si>
  <si>
    <t>Chicago</t>
  </si>
  <si>
    <t>Department of Homeland Security</t>
  </si>
  <si>
    <t>Developing sustainability plans</t>
  </si>
  <si>
    <t>Baltimore</t>
  </si>
  <si>
    <t>MD</t>
  </si>
  <si>
    <t>Department of Health and Human Services</t>
  </si>
  <si>
    <t>Grants administration</t>
  </si>
  <si>
    <t>Rogue River</t>
  </si>
  <si>
    <t>Department of Energy</t>
  </si>
  <si>
    <t>Engaging public</t>
  </si>
  <si>
    <t>Beachwood</t>
  </si>
  <si>
    <t>OH</t>
  </si>
  <si>
    <t>Department of Education</t>
  </si>
  <si>
    <t>management and reporting</t>
  </si>
  <si>
    <t>Cliffside Park</t>
  </si>
  <si>
    <t>NJ</t>
  </si>
  <si>
    <t>Department of Commerce</t>
  </si>
  <si>
    <t>private and non-profit stakeholders to support an application</t>
  </si>
  <si>
    <t>Florence</t>
  </si>
  <si>
    <t>Small Business Administration</t>
  </si>
  <si>
    <t>Familiarity with jurisdiction (city/county/special districts) budgeting processes</t>
  </si>
  <si>
    <t>Portland</t>
  </si>
  <si>
    <t>National Endowment of the Arts</t>
  </si>
  <si>
    <t>Familiarity with non-profit budgeting processes</t>
  </si>
  <si>
    <t xml:space="preserve">Crescent City </t>
  </si>
  <si>
    <t>Ensuring applications meet all guidelines and criteria</t>
  </si>
  <si>
    <t>Joseph</t>
  </si>
  <si>
    <t>Federal Emergency Management Agency (FEMA)</t>
  </si>
  <si>
    <t>Experience engaging city councils/boards of commissioners</t>
  </si>
  <si>
    <t>Environmental Protection Agency</t>
  </si>
  <si>
    <t>including points</t>
  </si>
  <si>
    <t>Economic Development Administration</t>
  </si>
  <si>
    <t>Working with underrepresented communities or communities of color</t>
  </si>
  <si>
    <t>Experience working with Diversity</t>
  </si>
  <si>
    <t>Equity and Inclusion initiatives</t>
  </si>
  <si>
    <t>Well rounded as I have done work in every aspect of the grant continuum</t>
  </si>
  <si>
    <t>Working with Native Tribal Councils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</si>
</sst>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h:mm:ss"/>
    <numFmt numFmtId="165" formatCode="&quot;$&quot;#,##0"/>
  </numFmts>
  <fonts count="10" x14ac:knownFonts="1">
    <font>
      <sz val="10"/>
      <color rgb="FF000000"/>
      <name val="Arial"/>
      <scheme val="minor"/>
    </font>
    <font>
      <sz val="10"/>
      <color theme="1"/>
      <name val="Arial"/>
      <scheme val="minor"/>
    </font>
    <font>
      <sz val="10"/>
      <color theme="1"/>
      <name val="Arial"/>
    </font>
    <font>
      <b/>
      <sz val="14"/>
      <color rgb="FFFFFFFF"/>
      <name val="Calibri"/>
    </font>
    <font>
      <sz val="12"/>
      <color rgb="FF000000"/>
      <name val="Calibri"/>
    </font>
    <font>
      <b/>
      <sz val="23"/>
      <color rgb="FF0B5394"/>
      <name val="Calibri"/>
    </font>
    <font>
      <b/>
      <sz val="10"/>
      <color theme="0"/>
      <name val="Arial"/>
      <scheme val="minor"/>
    </font>
    <font>
      <u/>
      <sz val="10"/>
      <color rgb="FF0000FF"/>
      <name val="Arial"/>
    </font>
    <font>
      <sz val="10"/>
      <color rgb="FF000000"/>
      <name val="Arial"/>
    </font>
    <font>
      <b/>
      <sz val="12"/>
      <color rgb="FF000000"/>
      <name val="Calibri"/>
    </font>
  </fonts>
  <fills count="9">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CFE2F3"/>
        <bgColor rgb="FFCFE2F3"/>
      </patternFill>
    </fill>
    <fill>
      <patternFill patternType="solid">
        <fgColor rgb="FF073763"/>
        <bgColor rgb="FF073763"/>
      </patternFill>
    </fill>
    <fill>
      <patternFill patternType="solid">
        <fgColor rgb="FF0070C0"/>
        <bgColor indexed="64"/>
      </patternFill>
    </fill>
    <fill>
      <patternFill patternType="solid">
        <fgColor rgb="FF0070C0"/>
        <bgColor rgb="FF3C78D8"/>
      </patternFill>
    </fill>
    <fill>
      <patternFill patternType="solid">
        <fgColor rgb="FF0070C0"/>
        <bgColor rgb="FF3D85C6"/>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164" fontId="1" fillId="3" borderId="0" xfId="0" applyNumberFormat="1" applyFont="1" applyFill="1"/>
    <xf numFmtId="0" fontId="2" fillId="3" borderId="0" xfId="0" applyFont="1" applyFill="1"/>
    <xf numFmtId="0" fontId="1" fillId="3" borderId="0" xfId="0" applyFont="1" applyFill="1"/>
    <xf numFmtId="0" fontId="1" fillId="3" borderId="0" xfId="0" applyFont="1" applyFill="1" applyAlignment="1">
      <alignment wrapText="1"/>
    </xf>
    <xf numFmtId="0" fontId="1" fillId="0" borderId="0" xfId="0" applyFont="1"/>
    <xf numFmtId="0" fontId="1" fillId="0" borderId="0" xfId="0" applyFont="1" applyAlignment="1">
      <alignment wrapText="1"/>
    </xf>
    <xf numFmtId="165" fontId="1" fillId="0" borderId="0" xfId="0" applyNumberFormat="1" applyFont="1"/>
    <xf numFmtId="0" fontId="1" fillId="2" borderId="0" xfId="0" applyFont="1" applyFill="1" applyAlignment="1">
      <alignment horizontal="center" vertical="center" wrapText="1"/>
    </xf>
    <xf numFmtId="0" fontId="6" fillId="5" borderId="0" xfId="0" applyFont="1" applyFill="1"/>
    <xf numFmtId="0" fontId="6" fillId="5" borderId="0" xfId="0" applyFont="1" applyFill="1" applyAlignment="1">
      <alignment wrapText="1"/>
    </xf>
    <xf numFmtId="165" fontId="1" fillId="3" borderId="0" xfId="0" applyNumberFormat="1" applyFont="1" applyFill="1"/>
    <xf numFmtId="164" fontId="1" fillId="0" borderId="0" xfId="0" applyNumberFormat="1" applyFont="1"/>
    <xf numFmtId="0" fontId="8" fillId="0" borderId="0" xfId="0" applyFont="1"/>
    <xf numFmtId="0" fontId="2" fillId="0" borderId="0" xfId="0" applyFont="1"/>
    <xf numFmtId="0" fontId="3" fillId="0" borderId="0" xfId="0" applyFont="1"/>
    <xf numFmtId="0" fontId="0" fillId="0" borderId="0" xfId="0"/>
    <xf numFmtId="0" fontId="5" fillId="3" borderId="0" xfId="0" applyFont="1" applyFill="1" applyAlignment="1">
      <alignment horizontal="center"/>
    </xf>
    <xf numFmtId="164" fontId="1" fillId="3" borderId="1" xfId="0" applyNumberFormat="1" applyFont="1" applyFill="1" applyBorder="1"/>
    <xf numFmtId="0" fontId="1" fillId="3" borderId="1" xfId="0" applyFont="1" applyFill="1" applyBorder="1"/>
    <xf numFmtId="0" fontId="1" fillId="3" borderId="1" xfId="0" applyFont="1" applyFill="1" applyBorder="1" applyAlignment="1">
      <alignment wrapText="1"/>
    </xf>
    <xf numFmtId="165" fontId="1" fillId="3" borderId="1" xfId="0" applyNumberFormat="1" applyFont="1" applyFill="1" applyBorder="1"/>
    <xf numFmtId="0" fontId="0" fillId="0" borderId="1" xfId="0" applyBorder="1"/>
    <xf numFmtId="0" fontId="7" fillId="3" borderId="1" xfId="0" applyFont="1" applyFill="1" applyBorder="1"/>
    <xf numFmtId="0" fontId="0" fillId="6" borderId="0" xfId="0" applyFill="1"/>
    <xf numFmtId="0" fontId="1" fillId="6" borderId="0" xfId="0" applyFont="1" applyFill="1"/>
    <xf numFmtId="0" fontId="1" fillId="7" borderId="0" xfId="0" applyFont="1" applyFill="1"/>
    <xf numFmtId="0" fontId="1" fillId="8" borderId="0" xfId="0" applyFont="1" applyFill="1"/>
    <xf numFmtId="0" fontId="1" fillId="8" borderId="0" xfId="0" applyFont="1" applyFill="1" applyAlignment="1">
      <alignment wrapText="1"/>
    </xf>
    <xf numFmtId="0" fontId="4" fillId="0" borderId="2" xfId="0" applyFont="1" applyBorder="1" applyAlignment="1">
      <alignment vertical="center" wrapText="1"/>
    </xf>
    <xf numFmtId="0" fontId="0" fillId="0" borderId="3" xfId="0" applyBorder="1"/>
    <xf numFmtId="0" fontId="0" fillId="0" borderId="4" xfId="0" applyBorder="1"/>
    <xf numFmtId="0" fontId="4" fillId="0" borderId="5" xfId="0" applyFont="1" applyBorder="1" applyAlignment="1">
      <alignment wrapText="1"/>
    </xf>
    <xf numFmtId="0" fontId="0" fillId="0" borderId="6" xfId="0" applyBorder="1"/>
    <xf numFmtId="0" fontId="0" fillId="0" borderId="7" xfId="0" applyBorder="1"/>
    <xf numFmtId="0" fontId="1" fillId="0" borderId="3" xfId="0" applyFont="1" applyBorder="1" applyAlignment="1">
      <alignment horizontal="center" vertical="center" wrapText="1"/>
    </xf>
    <xf numFmtId="0" fontId="1" fillId="4" borderId="3" xfId="0" applyFont="1" applyFill="1" applyBorder="1" applyAlignment="1">
      <alignment horizontal="center" vertical="center" wrapText="1"/>
    </xf>
    <xf numFmtId="0" fontId="0" fillId="0" borderId="3"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257425" cy="7524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open?id=1RpB9f1VQRRY_guZiRPuj2zsvjwSLVDXL" TargetMode="External"/><Relationship Id="rId1" Type="http://schemas.openxmlformats.org/officeDocument/2006/relationships/hyperlink" Target="https://drive.google.com/open?id=18DDU6w5CZgtu2LausQB5CRDSGi2ic4f_"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3"/>
  <sheetViews>
    <sheetView tabSelected="1" topLeftCell="B1" zoomScale="70" zoomScaleNormal="70" workbookViewId="0">
      <selection activeCell="L1" sqref="L1"/>
    </sheetView>
  </sheetViews>
  <sheetFormatPr defaultColWidth="12.6640625" defaultRowHeight="15.75" customHeight="1" x14ac:dyDescent="0.25"/>
  <cols>
    <col min="1" max="1" width="20.109375" hidden="1" customWidth="1"/>
    <col min="2" max="2" width="29.6640625" customWidth="1"/>
    <col min="4" max="4" width="9" customWidth="1"/>
    <col min="5" max="5" width="31" customWidth="1"/>
    <col min="6" max="6" width="27.44140625" hidden="1" customWidth="1"/>
    <col min="7" max="7" width="32.33203125" hidden="1" customWidth="1"/>
    <col min="9" max="9" width="26.21875" customWidth="1"/>
    <col min="10" max="10" width="26.33203125" customWidth="1"/>
    <col min="11" max="11" width="35.88671875" customWidth="1"/>
    <col min="12" max="13" width="44.88671875" customWidth="1"/>
    <col min="14" max="14" width="48.44140625" customWidth="1"/>
    <col min="15" max="15" width="41.44140625" customWidth="1"/>
    <col min="16" max="16" width="42.6640625" customWidth="1"/>
    <col min="17" max="17" width="35.77734375" hidden="1" customWidth="1"/>
    <col min="18" max="18" width="12.6640625" hidden="1"/>
    <col min="19" max="19" width="22.33203125" customWidth="1"/>
    <col min="20" max="20" width="21" customWidth="1"/>
    <col min="21" max="21" width="15.88671875" customWidth="1"/>
    <col min="22" max="22" width="32.77734375" hidden="1" customWidth="1"/>
    <col min="23" max="23" width="42.21875" hidden="1" customWidth="1"/>
    <col min="24" max="24" width="87.109375" hidden="1" customWidth="1"/>
    <col min="25" max="25" width="12.6640625" hidden="1"/>
  </cols>
  <sheetData>
    <row r="1" spans="1:26" ht="80.25" customHeight="1" x14ac:dyDescent="0.35">
      <c r="A1" s="8"/>
      <c r="B1" s="15"/>
      <c r="C1" s="16"/>
      <c r="D1" s="16"/>
      <c r="E1" s="16"/>
      <c r="F1" s="8"/>
      <c r="G1" s="8"/>
      <c r="H1" s="29" t="s">
        <v>36</v>
      </c>
      <c r="I1" s="30"/>
      <c r="J1" s="30"/>
      <c r="K1" s="31"/>
      <c r="L1" s="8"/>
      <c r="M1" s="8"/>
      <c r="N1" s="8"/>
      <c r="O1" s="8"/>
      <c r="P1" s="8"/>
      <c r="Q1" s="8"/>
      <c r="R1" s="8"/>
      <c r="S1" s="8"/>
      <c r="T1" s="8"/>
      <c r="U1" s="8"/>
      <c r="V1" s="8"/>
      <c r="W1" s="8"/>
      <c r="X1" s="8"/>
      <c r="Y1" s="8"/>
      <c r="Z1" s="8"/>
    </row>
    <row r="2" spans="1:26" ht="48" customHeight="1" x14ac:dyDescent="0.55000000000000004">
      <c r="A2" s="8"/>
      <c r="B2" s="17" t="s">
        <v>37</v>
      </c>
      <c r="C2" s="16"/>
      <c r="D2" s="16"/>
      <c r="E2" s="16"/>
      <c r="F2" s="8"/>
      <c r="G2" s="8"/>
      <c r="H2" s="32" t="s">
        <v>38</v>
      </c>
      <c r="I2" s="33"/>
      <c r="J2" s="33"/>
      <c r="K2" s="34"/>
      <c r="L2" s="8"/>
      <c r="M2" s="8"/>
      <c r="N2" s="8"/>
      <c r="O2" s="8"/>
      <c r="P2" s="8"/>
      <c r="Q2" s="8"/>
      <c r="R2" s="8"/>
      <c r="S2" s="8"/>
      <c r="T2" s="8"/>
      <c r="U2" s="8"/>
      <c r="V2" s="8"/>
      <c r="W2" s="8"/>
      <c r="X2" s="8"/>
      <c r="Y2" s="8"/>
      <c r="Z2" s="8"/>
    </row>
    <row r="3" spans="1:26" ht="13.2" x14ac:dyDescent="0.25">
      <c r="A3" s="8"/>
      <c r="B3" s="8"/>
      <c r="C3" s="8"/>
      <c r="D3" s="8"/>
      <c r="E3" s="8"/>
      <c r="F3" s="8"/>
      <c r="G3" s="8"/>
      <c r="H3" s="8"/>
      <c r="I3" s="8"/>
      <c r="J3" s="8"/>
      <c r="K3" s="8"/>
      <c r="L3" s="8"/>
      <c r="M3" s="8"/>
      <c r="N3" s="8"/>
      <c r="O3" s="8"/>
      <c r="P3" s="8"/>
      <c r="Q3" s="8"/>
      <c r="R3" s="8"/>
      <c r="S3" s="8"/>
      <c r="T3" s="8"/>
      <c r="U3" s="8"/>
      <c r="V3" s="8"/>
      <c r="W3" s="8"/>
      <c r="X3" s="8"/>
      <c r="Y3" s="8"/>
      <c r="Z3" s="8"/>
    </row>
    <row r="4" spans="1:26" s="37" customFormat="1" ht="26.4" x14ac:dyDescent="0.25">
      <c r="A4" s="35"/>
      <c r="B4" s="35" t="s">
        <v>0</v>
      </c>
      <c r="C4" s="36" t="s">
        <v>1</v>
      </c>
      <c r="D4" s="36" t="s">
        <v>2</v>
      </c>
      <c r="E4" s="35" t="s">
        <v>3</v>
      </c>
      <c r="F4" s="35"/>
      <c r="G4" s="35"/>
      <c r="H4" s="35" t="s">
        <v>39</v>
      </c>
      <c r="I4" s="36" t="s">
        <v>40</v>
      </c>
      <c r="J4" s="36" t="s">
        <v>41</v>
      </c>
      <c r="K4" s="36" t="s">
        <v>42</v>
      </c>
      <c r="L4" s="36" t="s">
        <v>43</v>
      </c>
      <c r="M4" s="36" t="s">
        <v>44</v>
      </c>
      <c r="N4" s="36" t="s">
        <v>45</v>
      </c>
      <c r="O4" s="36" t="s">
        <v>46</v>
      </c>
      <c r="P4" s="36" t="s">
        <v>47</v>
      </c>
      <c r="Q4" s="35"/>
      <c r="R4" s="35"/>
      <c r="S4" s="36" t="s">
        <v>48</v>
      </c>
      <c r="T4" s="36" t="s">
        <v>49</v>
      </c>
      <c r="U4" s="35" t="s">
        <v>50</v>
      </c>
      <c r="V4" s="35"/>
      <c r="W4" s="35"/>
      <c r="X4" s="35"/>
      <c r="Y4" s="35"/>
      <c r="Z4" s="35"/>
    </row>
    <row r="5" spans="1:26" s="24" customFormat="1" ht="13.2" x14ac:dyDescent="0.25">
      <c r="B5" s="25"/>
      <c r="C5" s="26"/>
      <c r="D5" s="27"/>
      <c r="E5" s="25"/>
      <c r="H5" s="25"/>
      <c r="I5" s="27"/>
      <c r="J5" s="27"/>
      <c r="K5" s="28"/>
      <c r="L5" s="28"/>
      <c r="M5" s="28"/>
      <c r="N5" s="28"/>
      <c r="O5" s="27"/>
      <c r="P5" s="27"/>
      <c r="S5" s="27"/>
      <c r="T5" s="27"/>
    </row>
    <row r="6" spans="1:26" ht="26.4" hidden="1" x14ac:dyDescent="0.25">
      <c r="A6" s="9" t="str">
        <f ca="1">IFERROR(__xludf.DUMMYFUNCTION("QUERY(Backend!A2:Y1005,""Select * Where C contains '""&amp;C6&amp;""' AND D contains '""&amp;D6&amp;""'  AND I contains '""&amp;I6&amp;""'  AND K contains '""&amp;K6&amp;""'  AND M contains '""&amp;M6&amp;""' "",1)"),"Timestamp")</f>
        <v>Timestamp</v>
      </c>
      <c r="B6" s="9" t="str">
        <f ca="1">IFERROR(__xludf.DUMMYFUNCTION("""COMPUTED_VALUE"""),"Name")</f>
        <v>Name</v>
      </c>
      <c r="C6" s="9" t="str">
        <f ca="1">IFERROR(__xludf.DUMMYFUNCTION("""COMPUTED_VALUE"""),"City")</f>
        <v>City</v>
      </c>
      <c r="D6" s="9" t="str">
        <f ca="1">IFERROR(__xludf.DUMMYFUNCTION("""COMPUTED_VALUE"""),"State")</f>
        <v>State</v>
      </c>
      <c r="E6" s="9" t="str">
        <f ca="1">IFERROR(__xludf.DUMMYFUNCTION("""COMPUTED_VALUE"""),"Email Address")</f>
        <v>Email Address</v>
      </c>
      <c r="F6" s="9" t="str">
        <f ca="1">IFERROR(__xludf.DUMMYFUNCTION("""COMPUTED_VALUE"""),"Street Address")</f>
        <v>Street Address</v>
      </c>
      <c r="G6" s="9" t="str">
        <f ca="1">IFERROR(__xludf.DUMMYFUNCTION("""COMPUTED_VALUE"""),"Zip code")</f>
        <v>Zip code</v>
      </c>
      <c r="H6" s="9" t="str">
        <f ca="1">IFERROR(__xludf.DUMMYFUNCTION("""COMPUTED_VALUE"""),"Phone number")</f>
        <v>Phone number</v>
      </c>
      <c r="I6" s="9" t="str">
        <f ca="1">IFERROR(__xludf.DUMMYFUNCTION("""COMPUTED_VALUE"""),"Do you have experience working with rural communities?")</f>
        <v>Do you have experience working with rural communities?</v>
      </c>
      <c r="J6" s="9" t="str">
        <f ca="1">IFERROR(__xludf.DUMMYFUNCTION("""COMPUTED_VALUE"""),"Do you have experience working with rural communities in specifically in Michigan?")</f>
        <v>Do you have experience working with rural communities in specifically in Michigan?</v>
      </c>
      <c r="K6" s="10" t="str">
        <f ca="1">IFERROR(__xludf.DUMMYFUNCTION("""COMPUTED_VALUE"""),"What federal agencies do you have experience securing grants from?")</f>
        <v>What federal agencies do you have experience securing grants from?</v>
      </c>
      <c r="L6" s="10" t="str">
        <f ca="1">IFERROR(__xludf.DUMMYFUNCTION("""COMPUTED_VALUE"""),"What other agencies not listed above have you secured federal grants from?")</f>
        <v>What other agencies not listed above have you secured federal grants from?</v>
      </c>
      <c r="M6" s="10" t="str">
        <f ca="1">IFERROR(__xludf.DUMMYFUNCTION("""COMPUTED_VALUE"""),"What types of projects/programs do you have experience in applying for? ")</f>
        <v xml:space="preserve">What types of projects/programs do you have experience in applying for? </v>
      </c>
      <c r="N6" s="10" t="str">
        <f ca="1">IFERROR(__xludf.DUMMYFUNCTION("""COMPUTED_VALUE"""),"Please select areas where you have strong expertise. ")</f>
        <v xml:space="preserve">Please select areas where you have strong expertise. </v>
      </c>
      <c r="O6" s="9" t="str">
        <f ca="1">IFERROR(__xludf.DUMMYFUNCTION("""COMPUTED_VALUE"""),"How many years of experience do you have writing federal grant applications? ")</f>
        <v xml:space="preserve">How many years of experience do you have writing federal grant applications? </v>
      </c>
      <c r="P6" s="9" t="str">
        <f ca="1">IFERROR(__xludf.DUMMYFUNCTION("""COMPUTED_VALUE"""),"What is the estimated total amount of funds you have secured from federal grants")</f>
        <v>What is the estimated total amount of funds you have secured from federal grants</v>
      </c>
      <c r="Q6" s="9" t="str">
        <f ca="1">IFERROR(__xludf.DUMMYFUNCTION("""COMPUTED_VALUE"""),"Do you have a specific area of expertise not listed above? ")</f>
        <v xml:space="preserve">Do you have a specific area of expertise not listed above? </v>
      </c>
      <c r="R6" s="9" t="str">
        <f ca="1">IFERROR(__xludf.DUMMYFUNCTION("""COMPUTED_VALUE"""),"If selected, how should clients contact you for your services?")</f>
        <v>If selected, how should clients contact you for your services?</v>
      </c>
      <c r="S6" s="9" t="str">
        <f ca="1">IFERROR(__xludf.DUMMYFUNCTION("""COMPUTED_VALUE"""),"Are you applying to be part of this roster as an individual or an agency? ")</f>
        <v xml:space="preserve">Are you applying to be part of this roster as an individual or an agency? </v>
      </c>
      <c r="T6" s="9" t="str">
        <f ca="1">IFERROR(__xludf.DUMMYFUNCTION("""COMPUTED_VALUE"""),"Do you charge an hourly rate or a flat fee? ")</f>
        <v xml:space="preserve">Do you charge an hourly rate or a flat fee? </v>
      </c>
      <c r="U6" s="9" t="str">
        <f ca="1">IFERROR(__xludf.DUMMYFUNCTION("""COMPUTED_VALUE"""),"If you charge an hourly rate, please list it here. If you are applying as an agency, please list your average hourly rate.")</f>
        <v>If you charge an hourly rate, please list it here. If you are applying as an agency, please list your average hourly rate.</v>
      </c>
      <c r="V6" s="9" t="str">
        <f ca="1">IFERROR(__xludf.DUMMYFUNCTION("""COMPUTED_VALUE"""),"If yes, please explain. ")</f>
        <v xml:space="preserve">If yes, please explain. </v>
      </c>
      <c r="W6" s="9" t="str">
        <f ca="1">IFERROR(__xludf.DUMMYFUNCTION("""COMPUTED_VALUE"""),"Where did you hear about this opportunity? ")</f>
        <v xml:space="preserve">Where did you hear about this opportunity? </v>
      </c>
      <c r="X6" s="9" t="str">
        <f ca="1">IFERROR(__xludf.DUMMYFUNCTION("""COMPUTED_VALUE"""),"Please upload a minimum of two successful federal grant writing samples. Please remove any confidential information prior to submission.")</f>
        <v>Please upload a minimum of two successful federal grant writing samples. Please remove any confidential information prior to submission.</v>
      </c>
      <c r="Y6" s="9" t="str">
        <f ca="1">IFERROR(__xludf.DUMMYFUNCTION("""COMPUTED_VALUE"""),"If yes, please explain.")</f>
        <v>If yes, please explain.</v>
      </c>
    </row>
    <row r="7" spans="1:26" s="22" customFormat="1" ht="79.2" x14ac:dyDescent="0.25">
      <c r="A7" s="18">
        <f ca="1">IFERROR(__xludf.DUMMYFUNCTION("""COMPUTED_VALUE"""),44729.4356229281)</f>
        <v>44729.435622928198</v>
      </c>
      <c r="B7" s="19" t="str">
        <f ca="1">IFERROR(__xludf.DUMMYFUNCTION("""COMPUTED_VALUE"""),"Carolyn Owens")</f>
        <v>Carolyn Owens</v>
      </c>
      <c r="C7" s="19" t="str">
        <f ca="1">IFERROR(__xludf.DUMMYFUNCTION("""COMPUTED_VALUE"""),"Tucson")</f>
        <v>Tucson</v>
      </c>
      <c r="D7" s="19" t="str">
        <f ca="1">IFERROR(__xludf.DUMMYFUNCTION("""COMPUTED_VALUE"""),"AZ")</f>
        <v>AZ</v>
      </c>
      <c r="E7" s="19" t="str">
        <f ca="1">IFERROR(__xludf.DUMMYFUNCTION("""COMPUTED_VALUE"""),"carolynowensgrantwriter@gmail.com")</f>
        <v>carolynowensgrantwriter@gmail.com</v>
      </c>
      <c r="F7" s="19" t="str">
        <f ca="1">IFERROR(__xludf.DUMMYFUNCTION("""COMPUTED_VALUE"""),"2456 W Placita Carlota")</f>
        <v>2456 W Placita Carlota</v>
      </c>
      <c r="G7" s="19">
        <f ca="1">IFERROR(__xludf.DUMMYFUNCTION("""COMPUTED_VALUE"""),85745)</f>
        <v>85745</v>
      </c>
      <c r="H7" s="19" t="str">
        <f ca="1">IFERROR(__xludf.DUMMYFUNCTION("""COMPUTED_VALUE"""),"520-243-3180")</f>
        <v>520-243-3180</v>
      </c>
      <c r="I7" s="19" t="str">
        <f ca="1">IFERROR(__xludf.DUMMYFUNCTION("""COMPUTED_VALUE"""),"Yes")</f>
        <v>Yes</v>
      </c>
      <c r="J7" s="19" t="str">
        <f ca="1">IFERROR(__xludf.DUMMYFUNCTION("""COMPUTED_VALUE"""),"No")</f>
        <v>No</v>
      </c>
      <c r="K7" s="20" t="str">
        <f ca="1">IFERROR(__xludf.DUMMYFUNCTION("""COMPUTED_VALUE"""),"U.S. Department of Agriculture, Economic Development Administration, Department of Labor, Housing and Urban Development, U.S. Department of Commerce, U.S. Department of Health and Human Services")</f>
        <v>U.S. Department of Agriculture, Economic Development Administration, Department of Labor, Housing and Urban Development, U.S. Department of Commerce, U.S. Department of Health and Human Services</v>
      </c>
      <c r="L7" s="20" t="str">
        <f ca="1">IFERROR(__xludf.DUMMYFUNCTION("""COMPUTED_VALUE"""),"CNCS (Americorp) BJA, VA, NFWF")</f>
        <v>CNCS (Americorp) BJA, VA, NFWF</v>
      </c>
      <c r="M7" s="20" t="str">
        <f ca="1">IFERROR(__xludf.DUMMYFUNCTION("""COMPUTED_VALUE"""),"Planning grants, Infrastructure/Construction, Non-construction/program")</f>
        <v>Planning grants, Infrastructure/Construction, Non-construction/program</v>
      </c>
      <c r="N7" s="20" t="str">
        <f ca="1">IFERROR(__xludf.DUMMYFUNCTION("""COMPUTED_VALUE"""),"Prospecting, Assessing project readiness, New program development or expansion, Engaging diverse stakeholders to support an application, Grants.gov navigation and submission, Liaising with federal agency representatives, Ensuring applications meet all gui"&amp;"delines and criteria, including points")</f>
        <v>Prospecting, Assessing project readiness, New program development or expansion, Engaging diverse stakeholders to support an application, Grants.gov navigation and submission, Liaising with federal agency representatives, Ensuring applications meet all guidelines and criteria, including points</v>
      </c>
      <c r="O7" s="19" t="str">
        <f ca="1">IFERROR(__xludf.DUMMYFUNCTION("""COMPUTED_VALUE"""),"More than 10 years")</f>
        <v>More than 10 years</v>
      </c>
      <c r="P7" s="19" t="str">
        <f ca="1">IFERROR(__xludf.DUMMYFUNCTION("""COMPUTED_VALUE"""),"$11 million - $20 million")</f>
        <v>$11 million - $20 million</v>
      </c>
      <c r="Q7" s="19" t="str">
        <f ca="1">IFERROR(__xludf.DUMMYFUNCTION("""COMPUTED_VALUE"""),"Not really")</f>
        <v>Not really</v>
      </c>
      <c r="R7" s="19"/>
      <c r="S7" s="19" t="str">
        <f ca="1">IFERROR(__xludf.DUMMYFUNCTION("""COMPUTED_VALUE"""),"Individual")</f>
        <v>Individual</v>
      </c>
      <c r="T7" s="19" t="str">
        <f ca="1">IFERROR(__xludf.DUMMYFUNCTION("""COMPUTED_VALUE"""),"Hourly rate")</f>
        <v>Hourly rate</v>
      </c>
      <c r="U7" s="21">
        <f ca="1">IFERROR(__xludf.DUMMYFUNCTION("""COMPUTED_VALUE"""),95)</f>
        <v>95</v>
      </c>
      <c r="V7" s="19"/>
      <c r="W7" s="19"/>
      <c r="X7" s="19" t="str">
        <f ca="1">IFERROR(__xludf.DUMMYFUNCTION("""COMPUTED_VALUE"""),"https://drive.google.com/open?id=15lkseACkf2ulbhg8Rfflj4mretUyM-MW, https://drive.google.com/open?id=1Hc0_AI-dJJnDUaeAnYQR1poo_j7jbh83")</f>
        <v>https://drive.google.com/open?id=15lkseACkf2ulbhg8Rfflj4mretUyM-MW, https://drive.google.com/open?id=1Hc0_AI-dJJnDUaeAnYQR1poo_j7jbh83</v>
      </c>
      <c r="Y7" s="19"/>
      <c r="Z7" s="19"/>
    </row>
    <row r="8" spans="1:26" s="22" customFormat="1" ht="132" x14ac:dyDescent="0.25">
      <c r="A8" s="18">
        <f ca="1">IFERROR(__xludf.DUMMYFUNCTION("""COMPUTED_VALUE"""),44730.7023678935)</f>
        <v>44730.7023678935</v>
      </c>
      <c r="B8" s="19" t="str">
        <f ca="1">IFERROR(__xludf.DUMMYFUNCTION("""COMPUTED_VALUE"""),"Timothy J Hansell")</f>
        <v>Timothy J Hansell</v>
      </c>
      <c r="C8" s="19" t="str">
        <f ca="1">IFERROR(__xludf.DUMMYFUNCTION("""COMPUTED_VALUE"""),"Goodyear")</f>
        <v>Goodyear</v>
      </c>
      <c r="D8" s="19" t="str">
        <f ca="1">IFERROR(__xludf.DUMMYFUNCTION("""COMPUTED_VALUE"""),"AZ")</f>
        <v>AZ</v>
      </c>
      <c r="E8" s="19" t="str">
        <f ca="1">IFERROR(__xludf.DUMMYFUNCTION("""COMPUTED_VALUE"""),"tj@hansellgroup.com")</f>
        <v>tj@hansellgroup.com</v>
      </c>
      <c r="F8" s="19" t="str">
        <f ca="1">IFERROR(__xludf.DUMMYFUNCTION("""COMPUTED_VALUE"""),"18607 W Vogel Ave")</f>
        <v>18607 W Vogel Ave</v>
      </c>
      <c r="G8" s="19">
        <f ca="1">IFERROR(__xludf.DUMMYFUNCTION("""COMPUTED_VALUE"""),8538)</f>
        <v>8538</v>
      </c>
      <c r="H8" s="19" t="str">
        <f ca="1">IFERROR(__xludf.DUMMYFUNCTION("""COMPUTED_VALUE"""),"602-885-4454")</f>
        <v>602-885-4454</v>
      </c>
      <c r="I8" s="19" t="str">
        <f ca="1">IFERROR(__xludf.DUMMYFUNCTION("""COMPUTED_VALUE"""),"Yes")</f>
        <v>Yes</v>
      </c>
      <c r="J8" s="19" t="str">
        <f ca="1">IFERROR(__xludf.DUMMYFUNCTION("""COMPUTED_VALUE"""),"No")</f>
        <v>No</v>
      </c>
      <c r="K8" s="20" t="str">
        <f ca="1">IFERROR(__xludf.DUMMYFUNCTION("""COMPUTED_VALUE"""),"U.S. Department of Agriculture, Economic Development Administration, Department of Education, Housing and Urban Development, U.S. Department of Commerce, U.S. Department of Education, U.S. Department of Energy, U.S. Department of Health and Human Services"&amp;", U.S. Department of Homeland Security, U.S. Department of the Interior")</f>
        <v>U.S. Department of Agriculture, Economic Development Administration, Department of Education, Housing and Urban Development, U.S. Department of Commerce, U.S. Department of Education, U.S. Department of Energy, U.S. Department of Health and Human Services, U.S. Department of Homeland Security, U.S. Department of the Interior</v>
      </c>
      <c r="L8" s="20" t="str">
        <f ca="1">IFERROR(__xludf.DUMMYFUNCTION("""COMPUTED_VALUE"""),"Numerous Foundations, State agencies, and local agencies")</f>
        <v>Numerous Foundations, State agencies, and local agencies</v>
      </c>
      <c r="M8" s="20" t="str">
        <f ca="1">IFERROR(__xludf.DUMMYFUNCTION("""COMPUTED_VALUE"""),"Planning grants, Infrastructure/Construction, Non-construction/program, Capacity building, Technical assistance")</f>
        <v>Planning grants, Infrastructure/Construction, Non-construction/program, Capacity building, Technical assistance</v>
      </c>
      <c r="N8" s="20" t="str">
        <f ca="1">IFERROR(__xludf.DUMMYFUNCTION("""COMPUTED_VALUE"""),"Prospecting, Assessing project readiness, New program development or expansion, Developing sustainability plans, Engaging diverse stakeholders to support an application, Grants.gov navigation and submission, Liaising with federal agency representatives, G"&amp;"rants administration, management and reporting, Familiarity with jurisdiction (city/county/special districts) budgeting processes, Familiarity with non-profit budgeting processes, Experience engaging city councils/boards of commissioners, ")</f>
        <v xml:space="preserve">Prospecting, Assessing project readiness, New program development or expansion, Developing sustainability plans, Engaging diverse stakeholders to support an application, Grants.gov navigation and submission, Liaising with federal agency representatives, Grants administration, management and reporting, Familiarity with jurisdiction (city/county/special districts) budgeting processes, Familiarity with non-profit budgeting processes, Experience engaging city councils/boards of commissioners, </v>
      </c>
      <c r="O8" s="19" t="str">
        <f ca="1">IFERROR(__xludf.DUMMYFUNCTION("""COMPUTED_VALUE"""),"More than 10 years")</f>
        <v>More than 10 years</v>
      </c>
      <c r="P8" s="19" t="str">
        <f ca="1">IFERROR(__xludf.DUMMYFUNCTION("""COMPUTED_VALUE"""),"More than $20 million")</f>
        <v>More than $20 million</v>
      </c>
      <c r="Q8" s="19" t="str">
        <f ca="1">IFERROR(__xludf.DUMMYFUNCTION("""COMPUTED_VALUE"""),"Federal grant applications and working with Tribal organizations")</f>
        <v>Federal grant applications and working with Tribal organizations</v>
      </c>
      <c r="R8" s="19"/>
      <c r="S8" s="19" t="str">
        <f ca="1">IFERROR(__xludf.DUMMYFUNCTION("""COMPUTED_VALUE"""),"Agency")</f>
        <v>Agency</v>
      </c>
      <c r="T8" s="19" t="str">
        <f ca="1">IFERROR(__xludf.DUMMYFUNCTION("""COMPUTED_VALUE"""),"Hourly rate, Flat fee")</f>
        <v>Hourly rate, Flat fee</v>
      </c>
      <c r="U8" s="21">
        <f ca="1">IFERROR(__xludf.DUMMYFUNCTION("""COMPUTED_VALUE"""),125)</f>
        <v>125</v>
      </c>
      <c r="V8" s="19"/>
      <c r="W8" s="19"/>
      <c r="X8" s="23" t="str">
        <f ca="1">IFERROR(__xludf.DUMMYFUNCTION("""COMPUTED_VALUE"""),"https://drive.google.com/open?id=18DDU6w5CZgtu2LausQB5CRDSGi2ic4f_")</f>
        <v>https://drive.google.com/open?id=18DDU6w5CZgtu2LausQB5CRDSGi2ic4f_</v>
      </c>
      <c r="Y8" s="19"/>
      <c r="Z8" s="19"/>
    </row>
    <row r="9" spans="1:26" s="22" customFormat="1" ht="39.6" x14ac:dyDescent="0.25">
      <c r="A9" s="18">
        <f ca="1">IFERROR(__xludf.DUMMYFUNCTION("""COMPUTED_VALUE"""),44734.302548993)</f>
        <v>44734.302548993001</v>
      </c>
      <c r="B9" s="19" t="str">
        <f ca="1">IFERROR(__xludf.DUMMYFUNCTION("""COMPUTED_VALUE"""),"Erica McWhorter")</f>
        <v>Erica McWhorter</v>
      </c>
      <c r="C9" s="19" t="str">
        <f ca="1">IFERROR(__xludf.DUMMYFUNCTION("""COMPUTED_VALUE"""),"Napa")</f>
        <v>Napa</v>
      </c>
      <c r="D9" s="19" t="str">
        <f ca="1">IFERROR(__xludf.DUMMYFUNCTION("""COMPUTED_VALUE"""),"CA")</f>
        <v>CA</v>
      </c>
      <c r="E9" s="19" t="str">
        <f ca="1">IFERROR(__xludf.DUMMYFUNCTION("""COMPUTED_VALUE"""),"erica@excelevate.org")</f>
        <v>erica@excelevate.org</v>
      </c>
      <c r="F9" s="19" t="str">
        <f ca="1">IFERROR(__xludf.DUMMYFUNCTION("""COMPUTED_VALUE"""),"1844 W. Berteau Ave. #1")</f>
        <v>1844 W. Berteau Ave. #1</v>
      </c>
      <c r="G9" s="19">
        <f ca="1">IFERROR(__xludf.DUMMYFUNCTION("""COMPUTED_VALUE"""),60613)</f>
        <v>60613</v>
      </c>
      <c r="H9" s="19" t="str">
        <f ca="1">IFERROR(__xludf.DUMMYFUNCTION("""COMPUTED_VALUE"""),"707-241-4970")</f>
        <v>707-241-4970</v>
      </c>
      <c r="I9" s="19" t="str">
        <f ca="1">IFERROR(__xludf.DUMMYFUNCTION("""COMPUTED_VALUE"""),"Yes")</f>
        <v>Yes</v>
      </c>
      <c r="J9" s="19" t="str">
        <f ca="1">IFERROR(__xludf.DUMMYFUNCTION("""COMPUTED_VALUE"""),"No")</f>
        <v>No</v>
      </c>
      <c r="K9" s="20" t="str">
        <f ca="1">IFERROR(__xludf.DUMMYFUNCTION("""COMPUTED_VALUE"""),"Housing and Urban Development, U.S. Department of Health and Human Services,")</f>
        <v>Housing and Urban Development, U.S. Department of Health and Human Services,</v>
      </c>
      <c r="L9" s="20"/>
      <c r="M9" s="20" t="str">
        <f ca="1">IFERROR(__xludf.DUMMYFUNCTION("""COMPUTED_VALUE"""),"Planning grants, Infrastructure/Construction, Non-construction/program, Capacity building, Technical assistance")</f>
        <v>Planning grants, Infrastructure/Construction, Non-construction/program, Capacity building, Technical assistance</v>
      </c>
      <c r="N9" s="20" t="str">
        <f ca="1">IFERROR(__xludf.DUMMYFUNCTION("""COMPUTED_VALUE"""),"Assessing project readiness, New program development or expansion, Developing sustainability plans, Engaging public, private and non-profit stakeholders to support an application, Grants.gov navigation and submission, Liaising with federal agency represen"&amp;"tatives, Grants administration, management and reporting, Familiarity with non-profit budgeting processes, Working with underrepresented communities or communities of color, Experience working with Diversity, Equity and Inclusion initiatives")</f>
        <v>Assessing project readiness, New program development or expansion, Developing sustainability plans, Engaging public, private and non-profit stakeholders to support an application, Grants.gov navigation and submission, Liaising with federal agency representatives, Grants administration, management and reporting, Familiarity with non-profit budgeting processes, Working with underrepresented communities or communities of color, Experience working with Diversity, Equity and Inclusion initiatives</v>
      </c>
      <c r="O9" s="19" t="str">
        <f ca="1">IFERROR(__xludf.DUMMYFUNCTION("""COMPUTED_VALUE"""),"7-10 years")</f>
        <v>7-10 years</v>
      </c>
      <c r="P9" s="19" t="str">
        <f ca="1">IFERROR(__xludf.DUMMYFUNCTION("""COMPUTED_VALUE"""),"More than $20 million")</f>
        <v>More than $20 million</v>
      </c>
      <c r="Q9" s="19"/>
      <c r="R9" s="19"/>
      <c r="S9" s="19" t="str">
        <f ca="1">IFERROR(__xludf.DUMMYFUNCTION("""COMPUTED_VALUE"""),"Individual")</f>
        <v>Individual</v>
      </c>
      <c r="T9" s="19" t="str">
        <f ca="1">IFERROR(__xludf.DUMMYFUNCTION("""COMPUTED_VALUE"""),"Hourly rate, Flat fee")</f>
        <v>Hourly rate, Flat fee</v>
      </c>
      <c r="U9" s="21"/>
      <c r="V9" s="19" t="str">
        <f ca="1">IFERROR(__xludf.DUMMYFUNCTION("""COMPUTED_VALUE"""),"Worked throughout New England")</f>
        <v>Worked throughout New England</v>
      </c>
      <c r="W9" s="19" t="str">
        <f ca="1">IFERROR(__xludf.DUMMYFUNCTION("""COMPUTED_VALUE"""),"Other")</f>
        <v>Other</v>
      </c>
      <c r="X9" s="23" t="str">
        <f ca="1">IFERROR(__xludf.DUMMYFUNCTION("""COMPUTED_VALUE"""),"https://drive.google.com/open?id=1RpB9f1VQRRY_guZiRPuj2zsvjwSLVDXL")</f>
        <v>https://drive.google.com/open?id=1RpB9f1VQRRY_guZiRPuj2zsvjwSLVDXL</v>
      </c>
      <c r="Y9" s="19" t="str">
        <f ca="1">IFERROR(__xludf.DUMMYFUNCTION("""COMPUTED_VALUE"""),"None")</f>
        <v>None</v>
      </c>
      <c r="Z9" s="19"/>
    </row>
    <row r="10" spans="1:26" s="22" customFormat="1" ht="132" x14ac:dyDescent="0.25">
      <c r="A10" s="18">
        <f ca="1">IFERROR(__xludf.DUMMYFUNCTION("""COMPUTED_VALUE"""),44734.8018615509)</f>
        <v>44734.801861550899</v>
      </c>
      <c r="B10" s="19" t="str">
        <f ca="1">IFERROR(__xludf.DUMMYFUNCTION("""COMPUTED_VALUE"""),"Deborah Ann Lielasus")</f>
        <v>Deborah Ann Lielasus</v>
      </c>
      <c r="C10" s="19" t="str">
        <f ca="1">IFERROR(__xludf.DUMMYFUNCTION("""COMPUTED_VALUE"""),"
Chicago")</f>
        <v xml:space="preserve">
Chicago</v>
      </c>
      <c r="D10" s="19" t="str">
        <f ca="1">IFERROR(__xludf.DUMMYFUNCTION("""COMPUTED_VALUE"""),"IL")</f>
        <v>IL</v>
      </c>
      <c r="E10" s="19" t="str">
        <f ca="1">IFERROR(__xludf.DUMMYFUNCTION("""COMPUTED_VALUE"""),"dlielasus@gmail.com")</f>
        <v>dlielasus@gmail.com</v>
      </c>
      <c r="F10" s="19" t="str">
        <f ca="1">IFERROR(__xludf.DUMMYFUNCTION("""COMPUTED_VALUE"""),"5516 Kenwood Ave")</f>
        <v>5516 Kenwood Ave</v>
      </c>
      <c r="G10" s="19">
        <f ca="1">IFERROR(__xludf.DUMMYFUNCTION("""COMPUTED_VALUE"""),21206)</f>
        <v>21206</v>
      </c>
      <c r="H10" s="19" t="str">
        <f ca="1">IFERROR(__xludf.DUMMYFUNCTION("""COMPUTED_VALUE"""),"603-531-3823")</f>
        <v>603-531-3823</v>
      </c>
      <c r="I10" s="19" t="str">
        <f ca="1">IFERROR(__xludf.DUMMYFUNCTION("""COMPUTED_VALUE"""),"Yes")</f>
        <v>Yes</v>
      </c>
      <c r="J10" s="19" t="str">
        <f ca="1">IFERROR(__xludf.DUMMYFUNCTION("""COMPUTED_VALUE"""),"No")</f>
        <v>No</v>
      </c>
      <c r="K10" s="20" t="str">
        <f ca="1">IFERROR(__xludf.DUMMYFUNCTION("""COMPUTED_VALUE"""),"U.S. Department of Labor, Environmental Protection Agency, Housing and Urban Development, U.S. Department of Education, U.S. Department of Health and Human Services, U.S. Department of Justice, U.S. Department of Veterans Affairs, National Endowment of th"&amp;"e Arts, Small Business Administration")</f>
        <v>U.S. Department of Labor, Environmental Protection Agency, Housing and Urban Development, U.S. Department of Education, U.S. Department of Health and Human Services, U.S. Department of Justice, U.S. Department of Veterans Affairs, National Endowment of the Arts, Small Business Administration</v>
      </c>
      <c r="L10" s="20" t="str">
        <f ca="1">IFERROR(__xludf.DUMMYFUNCTION("""COMPUTED_VALUE"""),"State agencies")</f>
        <v>State agencies</v>
      </c>
      <c r="M10" s="20" t="str">
        <f ca="1">IFERROR(__xludf.DUMMYFUNCTION("""COMPUTED_VALUE"""),"Planning grants, Infrastructure/Construction, Non-construction/program, Capacity building, Technical assistance")</f>
        <v>Planning grants, Infrastructure/Construction, Non-construction/program, Capacity building, Technical assistance</v>
      </c>
      <c r="N10" s="20" t="str">
        <f ca="1">IFERROR(__xludf.DUMMYFUNCTION("""COMPUTED_VALUE"""),"Prospecting, Assessing project readiness, New program development or expansion, Developing sustainability plans, engaging public, private andnon-profit stakeholders to support an application, grants.gov navigation and submission, Liaising with federal age"&amp;"ncy representatives, Grants administration, management and reporting, Familiarity with non-profit budgeting processes, Working with underrepresented communities or communities of color, Experience working with Diversity, Equity and Inclusion initiatives")</f>
        <v>Prospecting, Assessing project readiness, New program development or expansion, Developing sustainability plans, engaging public, private andnon-profit stakeholders to support an application, grants.gov navigation and submission, Liaising with federal agency representatives, Grants administration, management and reporting, Familiarity with non-profit budgeting processes, Working with underrepresented communities or communities of color, Experience working with Diversity, Equity and Inclusion initiatives</v>
      </c>
      <c r="O10" s="19" t="str">
        <f ca="1">IFERROR(__xludf.DUMMYFUNCTION("""COMPUTED_VALUE"""),"More than 10 years")</f>
        <v>More than 10 years</v>
      </c>
      <c r="P10" s="19" t="str">
        <f ca="1">IFERROR(__xludf.DUMMYFUNCTION("""COMPUTED_VALUE"""),"More than $20 million")</f>
        <v>More than $20 million</v>
      </c>
      <c r="Q10" s="19"/>
      <c r="R10" s="19"/>
      <c r="S10" s="19" t="str">
        <f ca="1">IFERROR(__xludf.DUMMYFUNCTION("""COMPUTED_VALUE"""),"Individual")</f>
        <v>Individual</v>
      </c>
      <c r="T10" s="19" t="str">
        <f ca="1">IFERROR(__xludf.DUMMYFUNCTION("""COMPUTED_VALUE"""),"Hourly rate")</f>
        <v>Hourly rate</v>
      </c>
      <c r="U10" s="21">
        <f ca="1">IFERROR(__xludf.DUMMYFUNCTION("""COMPUTED_VALUE"""),65)</f>
        <v>65</v>
      </c>
      <c r="V10" s="19" t="str">
        <f ca="1">IFERROR(__xludf.DUMMYFUNCTION("""COMPUTED_VALUE"""),"I grew up in rural Pennsylvania and have been working closely with artists/musicians in the area to fundraise and build capacity for the arts in their area.")</f>
        <v>I grew up in rural Pennsylvania and have been working closely with artists/musicians in the area to fundraise and build capacity for the arts in their area.</v>
      </c>
      <c r="W10" s="19" t="str">
        <f ca="1">IFERROR(__xludf.DUMMYFUNCTION("""COMPUTED_VALUE"""),"Idealist")</f>
        <v>Idealist</v>
      </c>
      <c r="X10" s="19" t="str">
        <f ca="1">IFERROR(__xludf.DUMMYFUNCTION("""COMPUTED_VALUE"""),"https://drive.google.com/open?id=1PyANxpj1rMJLz3Ns4qQCusefIDUDJG_3, https://drive.google.com/open?id=14R8g7Aait2grIzz-JhfltqYUO7RgXhGa")</f>
        <v>https://drive.google.com/open?id=1PyANxpj1rMJLz3Ns4qQCusefIDUDJG_3, https://drive.google.com/open?id=14R8g7Aait2grIzz-JhfltqYUO7RgXhGa</v>
      </c>
      <c r="Y10" s="19" t="str">
        <f ca="1">IFERROR(__xludf.DUMMYFUNCTION("""COMPUTED_VALUE"""),"n/a")</f>
        <v>n/a</v>
      </c>
      <c r="Z10" s="19"/>
    </row>
    <row r="11" spans="1:26" s="22" customFormat="1" ht="13.2" x14ac:dyDescent="0.25">
      <c r="A11" s="18"/>
      <c r="B11" s="19" t="str">
        <f ca="1">IFERROR(__xludf.DUMMYFUNCTION("""COMPUTED_VALUE"""),"Taylor Thompson")</f>
        <v>Taylor Thompson</v>
      </c>
      <c r="C11" s="19" t="str">
        <f ca="1">IFERROR(__xludf.DUMMYFUNCTION("""COMPUTED_VALUE"""),"Decatur")</f>
        <v>Decatur</v>
      </c>
      <c r="D11" s="19" t="str">
        <f ca="1">IFERROR(__xludf.DUMMYFUNCTION("""COMPUTED_VALUE"""),"GA")</f>
        <v>GA</v>
      </c>
      <c r="E11" s="19" t="str">
        <f ca="1">IFERROR(__xludf.DUMMYFUNCTION("""COMPUTED_VALUE"""),"taylor.thompson328@gmail.com")</f>
        <v>taylor.thompson328@gmail.com</v>
      </c>
      <c r="F11" s="19"/>
      <c r="G11" s="19"/>
      <c r="H11" s="19" t="str">
        <f ca="1">IFERROR(__xludf.DUMMYFUNCTION("""COMPUTED_VALUE"""),"347-569-4347")</f>
        <v>347-569-4347</v>
      </c>
      <c r="I11" s="19" t="str">
        <f ca="1">IFERROR(__xludf.DUMMYFUNCTION("""COMPUTED_VALUE"""),"Yes")</f>
        <v>Yes</v>
      </c>
      <c r="J11" s="19" t="str">
        <f ca="1">IFERROR(__xludf.DUMMYFUNCTION("""COMPUTED_VALUE"""),"No")</f>
        <v>No</v>
      </c>
      <c r="K11" s="20" t="str">
        <f ca="1">IFERROR(__xludf.DUMMYFUNCTION("""COMPUTED_VALUE"""),"U.S. Department of Education")</f>
        <v>U.S. Department of Education</v>
      </c>
      <c r="L11" s="20"/>
      <c r="M11" s="20" t="str">
        <f ca="1">IFERROR(__xludf.DUMMYFUNCTION("""COMPUTED_VALUE"""),"Planning grants, Non-construction/program, Capacity building, Technical assistance")</f>
        <v>Planning grants, Non-construction/program, Capacity building, Technical assistance</v>
      </c>
      <c r="N11" s="20" t="str">
        <f ca="1">IFERROR(__xludf.DUMMYFUNCTION("""COMPUTED_VALUE"""),"Assessing project readiness, New program development or expansion, Developing sustainability plans, Measurement and Evaluation, Engaging public, private and non-profit stakeholders to support an application, Grants.gov navigation and submission, Liaising "&amp;"with federal agency representatives, Grants administration, management and reporting, Familiarity with non-profit budgeting processes, Experience engaging city council/boards of commissioners, Working with underrepresented communities or communities of co"&amp;"lor, Experience working with Diversity, Equity and Inclusion initiatives")</f>
        <v>Assessing project readiness, New program development or expansion, Developing sustainability plans, Measurement and Evaluation, Engaging public, private and non-profit stakeholders to support an application, Grants.gov navigation and submission, Liaising with federal agency representatives, Grants administration, management and reporting, Familiarity with non-profit budgeting processes, Experience engaging city council/boards of commissioners, Working with underrepresented communities or communities of color, Experience working with Diversity, Equity and Inclusion initiatives</v>
      </c>
      <c r="O11" s="19" t="str">
        <f ca="1">IFERROR(__xludf.DUMMYFUNCTION("""COMPUTED_VALUE"""),"4-6 years")</f>
        <v>4-6 years</v>
      </c>
      <c r="P11" s="19" t="str">
        <f ca="1">IFERROR(__xludf.DUMMYFUNCTION("""COMPUTED_VALUE"""),"More than $20 million")</f>
        <v>More than $20 million</v>
      </c>
      <c r="Q11" s="19"/>
      <c r="R11" s="19"/>
      <c r="S11" s="19" t="str">
        <f ca="1">IFERROR(__xludf.DUMMYFUNCTION("""COMPUTED_VALUE"""),"Individual")</f>
        <v>Individual</v>
      </c>
      <c r="T11" s="19" t="str">
        <f ca="1">IFERROR(__xludf.DUMMYFUNCTION("""COMPUTED_VALUE"""),"Hourly rate, Flat fee")</f>
        <v>Hourly rate, Flat fee</v>
      </c>
      <c r="U11" s="21">
        <f ca="1">IFERROR(__xludf.DUMMYFUNCTION("""COMPUTED_VALUE"""),35)</f>
        <v>35</v>
      </c>
      <c r="V11" s="19"/>
      <c r="W11" s="19"/>
      <c r="X11" s="19"/>
      <c r="Y11" s="19"/>
      <c r="Z11" s="19"/>
    </row>
    <row r="12" spans="1:26" s="22" customFormat="1" ht="118.8" x14ac:dyDescent="0.25">
      <c r="A12" s="18"/>
      <c r="B12" s="19" t="str">
        <f ca="1">IFERROR(__xludf.DUMMYFUNCTION("""COMPUTED_VALUE"""),"Lisa Klinman")</f>
        <v>Lisa Klinman</v>
      </c>
      <c r="C12" s="19" t="str">
        <f ca="1">IFERROR(__xludf.DUMMYFUNCTION("""COMPUTED_VALUE"""),"Bala Cynwyd")</f>
        <v>Bala Cynwyd</v>
      </c>
      <c r="D12" s="19" t="str">
        <f ca="1">IFERROR(__xludf.DUMMYFUNCTION("""COMPUTED_VALUE"""),"PA")</f>
        <v>PA</v>
      </c>
      <c r="E12" s="19" t="str">
        <f ca="1">IFERROR(__xludf.DUMMYFUNCTION("""COMPUTED_VALUE"""),"LKKlinman@gmail.com")</f>
        <v>LKKlinman@gmail.com</v>
      </c>
      <c r="F12" s="19"/>
      <c r="G12" s="19"/>
      <c r="H12" s="19" t="str">
        <f ca="1">IFERROR(__xludf.DUMMYFUNCTION("""COMPUTED_VALUE"""),"240-618-5413")</f>
        <v>240-618-5413</v>
      </c>
      <c r="I12" s="19" t="str">
        <f ca="1">IFERROR(__xludf.DUMMYFUNCTION("""COMPUTED_VALUE"""),"Yes")</f>
        <v>Yes</v>
      </c>
      <c r="J12" s="19" t="str">
        <f ca="1">IFERROR(__xludf.DUMMYFUNCTION("""COMPUTED_VALUE"""),"No")</f>
        <v>No</v>
      </c>
      <c r="K12" s="20" t="str">
        <f ca="1">IFERROR(__xludf.DUMMYFUNCTION("""COMPUTED_VALUE"""),"U.S. Department of Health and Human Services, U.S. Department of Justice, National Endowment of the Arts")</f>
        <v>U.S. Department of Health and Human Services, U.S. Department of Justice, National Endowment of the Arts</v>
      </c>
      <c r="L12" s="20" t="str">
        <f ca="1">IFERROR(__xludf.DUMMYFUNCTION("""COMPUTED_VALUE"""),"United Nations")</f>
        <v>United Nations</v>
      </c>
      <c r="M12" s="20" t="str">
        <f ca="1">IFERROR(__xludf.DUMMYFUNCTION("""COMPUTED_VALUE"""),"Planning grants, Capacity building, Technical assistance")</f>
        <v>Planning grants, Capacity building, Technical assistance</v>
      </c>
      <c r="N12" s="20" t="str">
        <f ca="1">IFERROR(__xludf.DUMMYFUNCTION("""COMPUTED_VALUE"""),"Measurement and evaluation, Engaging public, private and non-profit stakeholders to support an application, Grants.gov navigation and submission, Liaising with federal and/or state agency representatives, Grants administration, management and reporting, F"&amp;"amiliarity with non-profit budgeting processes, Experience engaging city councils/board of commissioners, Working with underrepresented communities or communities of color")</f>
        <v>Measurement and evaluation, Engaging public, private and non-profit stakeholders to support an application, Grants.gov navigation and submission, Liaising with federal and/or state agency representatives, Grants administration, management and reporting, Familiarity with non-profit budgeting processes, Experience engaging city councils/board of commissioners, Working with underrepresented communities or communities of color</v>
      </c>
      <c r="O12" s="19" t="str">
        <f ca="1">IFERROR(__xludf.DUMMYFUNCTION("""COMPUTED_VALUE"""),"7-10 years")</f>
        <v>7-10 years</v>
      </c>
      <c r="P12" s="19" t="str">
        <f ca="1">IFERROR(__xludf.DUMMYFUNCTION("""COMPUTED_VALUE"""),"$1 million - $5 million")</f>
        <v>$1 million - $5 million</v>
      </c>
      <c r="Q12" s="19"/>
      <c r="R12" s="19"/>
      <c r="S12" s="19" t="str">
        <f ca="1">IFERROR(__xludf.DUMMYFUNCTION("""COMPUTED_VALUE"""),"Individual")</f>
        <v>Individual</v>
      </c>
      <c r="T12" s="19" t="str">
        <f ca="1">IFERROR(__xludf.DUMMYFUNCTION("""COMPUTED_VALUE"""),"Hourly rate")</f>
        <v>Hourly rate</v>
      </c>
      <c r="U12" s="21">
        <f ca="1">IFERROR(__xludf.DUMMYFUNCTION("""COMPUTED_VALUE"""),40)</f>
        <v>40</v>
      </c>
      <c r="V12" s="19"/>
      <c r="W12" s="19"/>
      <c r="X12" s="19"/>
      <c r="Y12" s="19"/>
      <c r="Z12" s="19"/>
    </row>
    <row r="13" spans="1:26" s="22" customFormat="1" ht="39.6" x14ac:dyDescent="0.25">
      <c r="A13" s="18"/>
      <c r="B13" s="19" t="str">
        <f ca="1">IFERROR(__xludf.DUMMYFUNCTION("""COMPUTED_VALUE"""),"Megan Hoak")</f>
        <v>Megan Hoak</v>
      </c>
      <c r="C13" s="19" t="str">
        <f ca="1">IFERROR(__xludf.DUMMYFUNCTION("""COMPUTED_VALUE"""),"Asheville")</f>
        <v>Asheville</v>
      </c>
      <c r="D13" s="19" t="str">
        <f ca="1">IFERROR(__xludf.DUMMYFUNCTION("""COMPUTED_VALUE"""),"NC")</f>
        <v>NC</v>
      </c>
      <c r="E13" s="19" t="str">
        <f ca="1">IFERROR(__xludf.DUMMYFUNCTION("""COMPUTED_VALUE"""),"m.a.hoak@calyxdevelopmentservices.com")</f>
        <v>m.a.hoak@calyxdevelopmentservices.com</v>
      </c>
      <c r="F13" s="19"/>
      <c r="G13" s="19"/>
      <c r="H13" s="19" t="str">
        <f ca="1">IFERROR(__xludf.DUMMYFUNCTION("""COMPUTED_VALUE"""),"828-483-0503")</f>
        <v>828-483-0503</v>
      </c>
      <c r="I13" s="19" t="str">
        <f ca="1">IFERROR(__xludf.DUMMYFUNCTION("""COMPUTED_VALUE"""),"Yes")</f>
        <v>Yes</v>
      </c>
      <c r="J13" s="19" t="str">
        <f ca="1">IFERROR(__xludf.DUMMYFUNCTION("""COMPUTED_VALUE"""),"No")</f>
        <v>No</v>
      </c>
      <c r="K13" s="20" t="str">
        <f ca="1">IFERROR(__xludf.DUMMYFUNCTION("""COMPUTED_VALUE"""),"U.S. Department of Agriculture, Economic Development Administration, National Endowment for the Arts")</f>
        <v>U.S. Department of Agriculture, Economic Development Administration, National Endowment for the Arts</v>
      </c>
      <c r="L13" s="20"/>
      <c r="M13" s="20" t="str">
        <f ca="1">IFERROR(__xludf.DUMMYFUNCTION("""COMPUTED_VALUE"""),"Planning grants, Infrastructure/Construction, Technical assistance")</f>
        <v>Planning grants, Infrastructure/Construction, Technical assistance</v>
      </c>
      <c r="N13" s="20" t="str">
        <f ca="1">IFERROR(__xludf.DUMMYFUNCTION("""COMPUTED_VALUE"""),"Prospecting, Assessing project readiness, New program development or expansion, Measurement and evaluation, Engaging public, private and non-profit stakeholders to support an application, Grants.gov navigation and submission, Familiarity with jurisdiction"&amp;" (city/county/special districts) budgeting processes, Experience engaging city councils/board of commissioners, Experience working with Diversity, Equity and Inclusion initiatives")</f>
        <v>Prospecting, Assessing project readiness, New program development or expansion, Measurement and evaluation, Engaging public, private and non-profit stakeholders to support an application, Grants.gov navigation and submission, Familiarity with jurisdiction (city/county/special districts) budgeting processes, Experience engaging city councils/board of commissioners, Experience working with Diversity, Equity and Inclusion initiatives</v>
      </c>
      <c r="O13" s="19" t="str">
        <f ca="1">IFERROR(__xludf.DUMMYFUNCTION("""COMPUTED_VALUE"""),"0-3 years")</f>
        <v>0-3 years</v>
      </c>
      <c r="P13" s="19" t="str">
        <f ca="1">IFERROR(__xludf.DUMMYFUNCTION("""COMPUTED_VALUE"""),"$1 million - $5 million")</f>
        <v>$1 million - $5 million</v>
      </c>
      <c r="Q13" s="19"/>
      <c r="R13" s="19"/>
      <c r="S13" s="19" t="str">
        <f ca="1">IFERROR(__xludf.DUMMYFUNCTION("""COMPUTED_VALUE"""),"Individual")</f>
        <v>Individual</v>
      </c>
      <c r="T13" s="19" t="str">
        <f ca="1">IFERROR(__xludf.DUMMYFUNCTION("""COMPUTED_VALUE"""),"Hourly rate, Flat fee")</f>
        <v>Hourly rate, Flat fee</v>
      </c>
      <c r="U13" s="21">
        <f ca="1">IFERROR(__xludf.DUMMYFUNCTION("""COMPUTED_VALUE"""),60)</f>
        <v>60</v>
      </c>
      <c r="V13" s="19"/>
      <c r="W13" s="19"/>
      <c r="X13" s="19"/>
      <c r="Y13" s="19"/>
      <c r="Z13" s="19"/>
    </row>
    <row r="14" spans="1:26" s="22" customFormat="1" ht="132" x14ac:dyDescent="0.25">
      <c r="A14" s="18"/>
      <c r="B14" s="19" t="str">
        <f ca="1">IFERROR(__xludf.DUMMYFUNCTION("""COMPUTED_VALUE"""),"Maurice Consulting Group")</f>
        <v>Maurice Consulting Group</v>
      </c>
      <c r="C14" s="19" t="str">
        <f ca="1">IFERROR(__xludf.DUMMYFUNCTION("""COMPUTED_VALUE"""),"Norfolk")</f>
        <v>Norfolk</v>
      </c>
      <c r="D14" s="19" t="str">
        <f ca="1">IFERROR(__xludf.DUMMYFUNCTION("""COMPUTED_VALUE"""),"VA")</f>
        <v>VA</v>
      </c>
      <c r="E14" s="19" t="str">
        <f ca="1">IFERROR(__xludf.DUMMYFUNCTION("""COMPUTED_VALUE"""),"michael@mauriceconsulting.com")</f>
        <v>michael@mauriceconsulting.com</v>
      </c>
      <c r="F14" s="19"/>
      <c r="G14" s="19"/>
      <c r="H14" s="19" t="str">
        <f ca="1">IFERROR(__xludf.DUMMYFUNCTION("""COMPUTED_VALUE"""),"757-641-3021")</f>
        <v>757-641-3021</v>
      </c>
      <c r="I14" s="19" t="str">
        <f ca="1">IFERROR(__xludf.DUMMYFUNCTION("""COMPUTED_VALUE"""),"Yes")</f>
        <v>Yes</v>
      </c>
      <c r="J14" s="19" t="str">
        <f ca="1">IFERROR(__xludf.DUMMYFUNCTION("""COMPUTED_VALUE"""),"No")</f>
        <v>No</v>
      </c>
      <c r="K14" s="20" t="str">
        <f ca="1">IFERROR(__xludf.DUMMYFUNCTION("""COMPUTED_VALUE"""),"U.S. Department of Agriculture, Economic Development Administration, U.S. Department of Labor, U.S. Department of Commerce, U.S. Department of Defense, U.S. Department of Education, U.S. Department of Energy, U.S. Department of Health and Human Services, "&amp;"U.S. Department of Transporation, National Endowment of the Arts")</f>
        <v>U.S. Department of Agriculture, Economic Development Administration, U.S. Department of Labor, U.S. Department of Commerce, U.S. Department of Defense, U.S. Department of Education, U.S. Department of Energy, U.S. Department of Health and Human Services, U.S. Department of Transporation, National Endowment of the Arts</v>
      </c>
      <c r="L14" s="20" t="str">
        <f ca="1">IFERROR(__xludf.DUMMYFUNCTION("""COMPUTED_VALUE"""),"National Science Foundation, Institute of Museum and LIbrary Services, National Endowment for the Humanities")</f>
        <v>National Science Foundation, Institute of Museum and LIbrary Services, National Endowment for the Humanities</v>
      </c>
      <c r="M14" s="20" t="str">
        <f ca="1">IFERROR(__xludf.DUMMYFUNCTION("""COMPUTED_VALUE"""),"Planning grants, Non-construction/program, Capacity building, Technical assistance")</f>
        <v>Planning grants, Non-construction/program, Capacity building, Technical assistance</v>
      </c>
      <c r="N14" s="20" t="str">
        <f ca="1">IFERROR(__xludf.DUMMYFUNCTION("""COMPUTED_VALUE"""),"Prospecting, Assessing project readiness, New program development or expansion, Developing sustainability plans, Measurement and evaluation, Grants.gov navigation and submission, Liaising with federal agency representatives, Grants administration, managem"&amp;"ent and reporting, Familiarity with municipal budgeting processes, Familiarity with non-profit budgeting processes, Working with underrepresented communities or communities of color, Experience working with Diversity, Equity and Inclusion")</f>
        <v>Prospecting, Assessing project readiness, New program development or expansion, Developing sustainability plans, Measurement and evaluation, Grants.gov navigation and submission, Liaising with federal agency representatives, Grants administration, management and reporting, Familiarity with municipal budgeting processes, Familiarity with non-profit budgeting processes, Working with underrepresented communities or communities of color, Experience working with Diversity, Equity and Inclusion</v>
      </c>
      <c r="O14" s="19" t="str">
        <f ca="1">IFERROR(__xludf.DUMMYFUNCTION("""COMPUTED_VALUE"""),"More than 10 years")</f>
        <v>More than 10 years</v>
      </c>
      <c r="P14" s="19" t="str">
        <f ca="1">IFERROR(__xludf.DUMMYFUNCTION("""COMPUTED_VALUE"""),"More than $20 million")</f>
        <v>More than $20 million</v>
      </c>
      <c r="Q14" s="19"/>
      <c r="R14" s="19"/>
      <c r="S14" s="19" t="str">
        <f ca="1">IFERROR(__xludf.DUMMYFUNCTION("""COMPUTED_VALUE"""),"Agency")</f>
        <v>Agency</v>
      </c>
      <c r="T14" s="19" t="str">
        <f ca="1">IFERROR(__xludf.DUMMYFUNCTION("""COMPUTED_VALUE"""),"Hourly")</f>
        <v>Hourly</v>
      </c>
      <c r="U14" s="21">
        <f ca="1">IFERROR(__xludf.DUMMYFUNCTION("""COMPUTED_VALUE"""),95)</f>
        <v>95</v>
      </c>
      <c r="V14" s="19"/>
      <c r="W14" s="19"/>
      <c r="X14" s="19"/>
      <c r="Y14" s="19"/>
      <c r="Z14" s="19"/>
    </row>
    <row r="15" spans="1:26" s="22" customFormat="1" ht="105.6" x14ac:dyDescent="0.25">
      <c r="A15" s="18"/>
      <c r="B15" s="19" t="str">
        <f ca="1">IFERROR(__xludf.DUMMYFUNCTION("""COMPUTED_VALUE"""),"Faith Oviedo")</f>
        <v>Faith Oviedo</v>
      </c>
      <c r="C15" s="19" t="str">
        <f ca="1">IFERROR(__xludf.DUMMYFUNCTION("""COMPUTED_VALUE"""),"Washington")</f>
        <v>Washington</v>
      </c>
      <c r="D15" s="19" t="str">
        <f ca="1">IFERROR(__xludf.DUMMYFUNCTION("""COMPUTED_VALUE"""),"DC")</f>
        <v>DC</v>
      </c>
      <c r="E15" s="19" t="str">
        <f ca="1">IFERROR(__xludf.DUMMYFUNCTION("""COMPUTED_VALUE"""),"faith.oviedo@gmail.com")</f>
        <v>faith.oviedo@gmail.com</v>
      </c>
      <c r="F15" s="19"/>
      <c r="G15" s="19"/>
      <c r="H15" s="19" t="str">
        <f ca="1">IFERROR(__xludf.DUMMYFUNCTION("""COMPUTED_VALUE"""),"405-473-5655")</f>
        <v>405-473-5655</v>
      </c>
      <c r="I15" s="19" t="str">
        <f ca="1">IFERROR(__xludf.DUMMYFUNCTION("""COMPUTED_VALUE"""),"No")</f>
        <v>No</v>
      </c>
      <c r="J15" s="19" t="str">
        <f ca="1">IFERROR(__xludf.DUMMYFUNCTION("""COMPUTED_VALUE"""),"No")</f>
        <v>No</v>
      </c>
      <c r="K15" s="20" t="str">
        <f ca="1">IFERROR(__xludf.DUMMYFUNCTION("""COMPUTED_VALUE"""),"U.S. Department of Education, U.S. Department of Health and Human Services, U.S. Department of Justice, ")</f>
        <v xml:space="preserve">U.S. Department of Education, U.S. Department of Health and Human Services, U.S. Department of Justice, </v>
      </c>
      <c r="L15" s="20" t="str">
        <f ca="1">IFERROR(__xludf.DUMMYFUNCTION("""COMPUTED_VALUE"""),"National Institute for Health")</f>
        <v>National Institute for Health</v>
      </c>
      <c r="M15" s="20" t="str">
        <f ca="1">IFERROR(__xludf.DUMMYFUNCTION("""COMPUTED_VALUE"""),"Planning grants, Infrastructure/Construction, Non-construction/program, Capacity building   ")</f>
        <v xml:space="preserve">Planning grants, Infrastructure/Construction, Non-construction/program, Capacity building   </v>
      </c>
      <c r="N15" s="20" t="str">
        <f ca="1">IFERROR(__xludf.DUMMYFUNCTION("""COMPUTED_VALUE"""),"Prospecting, Assessing project readiness, New program development or expansion, Measurement and evaluation, Grants.gov navigation and submission, Liaising with federal agency representatives, Grants administration, management and reporting, Familiarity wi"&amp;"th non-profit budgeting processes, Working with underrepresented communities or communities of color, Experience working with Diversity, Equity and Inclusion")</f>
        <v>Prospecting, Assessing project readiness, New program development or expansion, Measurement and evaluation, Grants.gov navigation and submission, Liaising with federal agency representatives, Grants administration, management and reporting, Familiarity with non-profit budgeting processes, Working with underrepresented communities or communities of color, Experience working with Diversity, Equity and Inclusion</v>
      </c>
      <c r="O15" s="19" t="str">
        <f ca="1">IFERROR(__xludf.DUMMYFUNCTION("""COMPUTED_VALUE"""),"7-10 years")</f>
        <v>7-10 years</v>
      </c>
      <c r="P15" s="19" t="str">
        <f ca="1">IFERROR(__xludf.DUMMYFUNCTION("""COMPUTED_VALUE"""),"More than $20 million")</f>
        <v>More than $20 million</v>
      </c>
      <c r="Q15" s="19"/>
      <c r="R15" s="19"/>
      <c r="S15" s="19" t="str">
        <f ca="1">IFERROR(__xludf.DUMMYFUNCTION("""COMPUTED_VALUE"""),"Individual")</f>
        <v>Individual</v>
      </c>
      <c r="T15" s="19" t="str">
        <f ca="1">IFERROR(__xludf.DUMMYFUNCTION("""COMPUTED_VALUE"""),"Hourly")</f>
        <v>Hourly</v>
      </c>
      <c r="U15" s="21">
        <f ca="1">IFERROR(__xludf.DUMMYFUNCTION("""COMPUTED_VALUE"""),100)</f>
        <v>100</v>
      </c>
      <c r="V15" s="19"/>
      <c r="W15" s="19"/>
      <c r="X15" s="19"/>
      <c r="Y15" s="19"/>
      <c r="Z15" s="19"/>
    </row>
    <row r="16" spans="1:26" s="22" customFormat="1" ht="105.6" x14ac:dyDescent="0.25">
      <c r="A16" s="18"/>
      <c r="B16" s="19" t="str">
        <f ca="1">IFERROR(__xludf.DUMMYFUNCTION("""COMPUTED_VALUE"""),"Colton Strawser")</f>
        <v>Colton Strawser</v>
      </c>
      <c r="C16" s="19" t="str">
        <f ca="1">IFERROR(__xludf.DUMMYFUNCTION("""COMPUTED_VALUE"""),"Arlington")</f>
        <v>Arlington</v>
      </c>
      <c r="D16" s="19" t="str">
        <f ca="1">IFERROR(__xludf.DUMMYFUNCTION("""COMPUTED_VALUE"""),"TX")</f>
        <v>TX</v>
      </c>
      <c r="E16" s="19" t="str">
        <f ca="1">IFERROR(__xludf.DUMMYFUNCTION("""COMPUTED_VALUE"""),"colton@coltonstrawser.com")</f>
        <v>colton@coltonstrawser.com</v>
      </c>
      <c r="F16" s="19"/>
      <c r="G16" s="19"/>
      <c r="H16" s="19" t="str">
        <f ca="1">IFERROR(__xludf.DUMMYFUNCTION("""COMPUTED_VALUE"""),"682-342-8542")</f>
        <v>682-342-8542</v>
      </c>
      <c r="I16" s="19" t="str">
        <f ca="1">IFERROR(__xludf.DUMMYFUNCTION("""COMPUTED_VALUE"""),"Yes")</f>
        <v>Yes</v>
      </c>
      <c r="J16" s="19" t="str">
        <f ca="1">IFERROR(__xludf.DUMMYFUNCTION("""COMPUTED_VALUE"""),"Yes")</f>
        <v>Yes</v>
      </c>
      <c r="K16" s="20" t="str">
        <f ca="1">IFERROR(__xludf.DUMMYFUNCTION("""COMPUTED_VALUE"""),"Economic Development Administration, Housing and Urban Development, U.S. Department of Health and Human Services, U.S. Department of Justice, U.S. Department of Transporation, Small Business Administration")</f>
        <v>Economic Development Administration, Housing and Urban Development, U.S. Department of Health and Human Services, U.S. Department of Justice, U.S. Department of Transporation, Small Business Administration</v>
      </c>
      <c r="L16" s="20" t="str">
        <f ca="1">IFERROR(__xludf.DUMMYFUNCTION("""COMPUTED_VALUE"""),"Administration for Community Living")</f>
        <v>Administration for Community Living</v>
      </c>
      <c r="M16" s="20" t="str">
        <f ca="1">IFERROR(__xludf.DUMMYFUNCTION("""COMPUTED_VALUE"""),"Non-construction/program, Capacity building, Technical assistance")</f>
        <v>Non-construction/program, Capacity building, Technical assistance</v>
      </c>
      <c r="N16" s="20" t="str">
        <f ca="1">IFERROR(__xludf.DUMMYFUNCTION("""COMPUTED_VALUE"""),"Prospecting, Assessing project readiness, New program development or expansion, Measurement and evaluation, Grants.gov navigation and submission, Liaising with federal agency representatives, Grants administration, management and reporting, Familiarity wi"&amp;"th non-profit budgeting processes, Working with underrepresented communities or communities of color, Experience working with Diversity, Equity and Inclusion")</f>
        <v>Prospecting, Assessing project readiness, New program development or expansion, Measurement and evaluation, Grants.gov navigation and submission, Liaising with federal agency representatives, Grants administration, management and reporting, Familiarity with non-profit budgeting processes, Working with underrepresented communities or communities of color, Experience working with Diversity, Equity and Inclusion</v>
      </c>
      <c r="O16" s="19" t="str">
        <f ca="1">IFERROR(__xludf.DUMMYFUNCTION("""COMPUTED_VALUE"""),"7-10 years")</f>
        <v>7-10 years</v>
      </c>
      <c r="P16" s="19" t="str">
        <f ca="1">IFERROR(__xludf.DUMMYFUNCTION("""COMPUTED_VALUE"""),"More than $20 million")</f>
        <v>More than $20 million</v>
      </c>
      <c r="Q16" s="19"/>
      <c r="R16" s="19"/>
      <c r="S16" s="19" t="str">
        <f ca="1">IFERROR(__xludf.DUMMYFUNCTION("""COMPUTED_VALUE"""),"Agency")</f>
        <v>Agency</v>
      </c>
      <c r="T16" s="19" t="str">
        <f ca="1">IFERROR(__xludf.DUMMYFUNCTION("""COMPUTED_VALUE"""),"Flat Fee")</f>
        <v>Flat Fee</v>
      </c>
      <c r="U16" s="21">
        <f ca="1">IFERROR(__xludf.DUMMYFUNCTION("""COMPUTED_VALUE"""),200)</f>
        <v>200</v>
      </c>
      <c r="V16" s="19"/>
      <c r="W16" s="19"/>
      <c r="X16" s="19"/>
      <c r="Y16" s="19"/>
      <c r="Z16" s="19"/>
    </row>
    <row r="17" spans="1:26" s="22" customFormat="1" ht="92.4" x14ac:dyDescent="0.25">
      <c r="A17" s="18"/>
      <c r="B17" s="19" t="str">
        <f ca="1">IFERROR(__xludf.DUMMYFUNCTION("""COMPUTED_VALUE"""),"Shiloh Holley")</f>
        <v>Shiloh Holley</v>
      </c>
      <c r="C17" s="19" t="str">
        <f ca="1">IFERROR(__xludf.DUMMYFUNCTION("""COMPUTED_VALUE"""),"Detroit")</f>
        <v>Detroit</v>
      </c>
      <c r="D17" s="19" t="str">
        <f ca="1">IFERROR(__xludf.DUMMYFUNCTION("""COMPUTED_VALUE"""),"MI")</f>
        <v>MI</v>
      </c>
      <c r="E17" s="19" t="str">
        <f ca="1">IFERROR(__xludf.DUMMYFUNCTION("""COMPUTED_VALUE"""),"aderworks@gmail.com")</f>
        <v>aderworks@gmail.com</v>
      </c>
      <c r="F17" s="19"/>
      <c r="G17" s="19"/>
      <c r="H17" s="19" t="str">
        <f ca="1">IFERROR(__xludf.DUMMYFUNCTION("""COMPUTED_VALUE"""),"336-688-4701")</f>
        <v>336-688-4701</v>
      </c>
      <c r="I17" s="19" t="str">
        <f ca="1">IFERROR(__xludf.DUMMYFUNCTION("""COMPUTED_VALUE"""),"Yes")</f>
        <v>Yes</v>
      </c>
      <c r="J17" s="19" t="str">
        <f ca="1">IFERROR(__xludf.DUMMYFUNCTION("""COMPUTED_VALUE"""),"Yes")</f>
        <v>Yes</v>
      </c>
      <c r="K17" s="20" t="str">
        <f ca="1">IFERROR(__xludf.DUMMYFUNCTION("""COMPUTED_VALUE"""),"U.S. Department of Agriculture, National Endowment for the Arts, Small Business Administration")</f>
        <v>U.S. Department of Agriculture, National Endowment for the Arts, Small Business Administration</v>
      </c>
      <c r="L17" s="20" t="str">
        <f ca="1">IFERROR(__xludf.DUMMYFUNCTION("""COMPUTED_VALUE"""),"National Endowment for the Humanities")</f>
        <v>National Endowment for the Humanities</v>
      </c>
      <c r="M17" s="20" t="str">
        <f ca="1">IFERROR(__xludf.DUMMYFUNCTION("""COMPUTED_VALUE"""),"Planning grants, Non-construction/program, Capacity building, Technical assistance")</f>
        <v>Planning grants, Non-construction/program, Capacity building, Technical assistance</v>
      </c>
      <c r="N17" s="20" t="str">
        <f ca="1">IFERROR(__xludf.DUMMYFUNCTION("""COMPUTED_VALUE"""),"Prospecting, Assessing project readiness, New program development or expansion, Engaging public,  private and non-profit stakeholders to support an application, Grants.gov navigation and submission, Grants administration, management and reporting, Familia"&amp;"rity with non-profit budgeting processes, Working with underrepresented communities or communities of color,")</f>
        <v>Prospecting, Assessing project readiness, New program development or expansion, Engaging public,  private and non-profit stakeholders to support an application, Grants.gov navigation and submission, Grants administration, management and reporting, Familiarity with non-profit budgeting processes, Working with underrepresented communities or communities of color,</v>
      </c>
      <c r="O17" s="19" t="str">
        <f ca="1">IFERROR(__xludf.DUMMYFUNCTION("""COMPUTED_VALUE"""),"4-6 years")</f>
        <v>4-6 years</v>
      </c>
      <c r="P17" s="19" t="str">
        <f ca="1">IFERROR(__xludf.DUMMYFUNCTION("""COMPUTED_VALUE"""),"$1 million - $5 million")</f>
        <v>$1 million - $5 million</v>
      </c>
      <c r="Q17" s="19"/>
      <c r="R17" s="19"/>
      <c r="S17" s="19" t="str">
        <f ca="1">IFERROR(__xludf.DUMMYFUNCTION("""COMPUTED_VALUE"""),"Individual")</f>
        <v>Individual</v>
      </c>
      <c r="T17" s="19" t="str">
        <f ca="1">IFERROR(__xludf.DUMMYFUNCTION("""COMPUTED_VALUE"""),"Hourly rate, Flat fee")</f>
        <v>Hourly rate, Flat fee</v>
      </c>
      <c r="U17" s="21">
        <f ca="1">IFERROR(__xludf.DUMMYFUNCTION("""COMPUTED_VALUE"""),115)</f>
        <v>115</v>
      </c>
      <c r="V17" s="19"/>
      <c r="W17" s="19"/>
      <c r="X17" s="19"/>
      <c r="Y17" s="19"/>
      <c r="Z17" s="19"/>
    </row>
    <row r="18" spans="1:26" s="22" customFormat="1" ht="105.6" x14ac:dyDescent="0.25">
      <c r="A18" s="18"/>
      <c r="B18" s="19" t="str">
        <f ca="1">IFERROR(__xludf.DUMMYFUNCTION("""COMPUTED_VALUE"""),"Amy Berg")</f>
        <v>Amy Berg</v>
      </c>
      <c r="C18" s="19" t="str">
        <f ca="1">IFERROR(__xludf.DUMMYFUNCTION("""COMPUTED_VALUE"""),"New Orleans")</f>
        <v>New Orleans</v>
      </c>
      <c r="D18" s="19" t="str">
        <f ca="1">IFERROR(__xludf.DUMMYFUNCTION("""COMPUTED_VALUE"""),"LA")</f>
        <v>LA</v>
      </c>
      <c r="E18" s="19" t="str">
        <f ca="1">IFERROR(__xludf.DUMMYFUNCTION("""COMPUTED_VALUE"""),"amy@revolutionarycontent.org")</f>
        <v>amy@revolutionarycontent.org</v>
      </c>
      <c r="F18" s="19"/>
      <c r="G18" s="19"/>
      <c r="H18" s="19" t="str">
        <f ca="1">IFERROR(__xludf.DUMMYFUNCTION("""COMPUTED_VALUE"""),"646-255-5086")</f>
        <v>646-255-5086</v>
      </c>
      <c r="I18" s="19" t="str">
        <f ca="1">IFERROR(__xludf.DUMMYFUNCTION("""COMPUTED_VALUE"""),"Yes")</f>
        <v>Yes</v>
      </c>
      <c r="J18" s="19" t="str">
        <f ca="1">IFERROR(__xludf.DUMMYFUNCTION("""COMPUTED_VALUE"""),"Yes")</f>
        <v>Yes</v>
      </c>
      <c r="K18" s="20" t="str">
        <f ca="1">IFERROR(__xludf.DUMMYFUNCTION("""COMPUTED_VALUE"""),"U.S. Department of Labor, U.S. Department of Education, U.S. Department of Health and Human Services, Federal Emergency Management Agency (FEMA), U.S. Department of Justice, National Endowment for the Arts, Small Business Administration")</f>
        <v>U.S. Department of Labor, U.S. Department of Education, U.S. Department of Health and Human Services, Federal Emergency Management Agency (FEMA), U.S. Department of Justice, National Endowment for the Arts, Small Business Administration</v>
      </c>
      <c r="L18" s="20"/>
      <c r="M18" s="20" t="str">
        <f ca="1">IFERROR(__xludf.DUMMYFUNCTION("""COMPUTED_VALUE"""),"Planning grants, Non-construction/program, Capacity building, Technical assistance")</f>
        <v>Planning grants, Non-construction/program, Capacity building, Technical assistance</v>
      </c>
      <c r="N18" s="20" t="str">
        <f ca="1">IFERROR(__xludf.DUMMYFUNCTION("""COMPUTED_VALUE"""),"Prospecting, Assessing project readiness, New program development or expansion, Developing sustainability plans, Measurement and evaluation, Grants.gov navigation and submission, Liaising with federal agency representatives, Grants administration, managem"&amp;"ent and reporting, Familiarity with non-profit budgeting processes, Familiarity with municipal budgeting processes, Experience engaging city councils/board of commissioners, Working with underrepresented communities or communities of color, Experience wor"&amp;"king with Diversity, Equity and Inclusion initiatives")</f>
        <v>Prospecting, Assessing project readiness, New program development or expansion, Developing sustainability plans, Measurement and evaluation, Grants.gov navigation and submission, Liaising with federal agency representatives, Grants administration, management and reporting, Familiarity with non-profit budgeting processes, Familiarity with municipal budgeting processes, Experience engaging city councils/board of commissioners, Working with underrepresented communities or communities of color, Experience working with Diversity, Equity and Inclusion initiatives</v>
      </c>
      <c r="O18" s="19" t="str">
        <f ca="1">IFERROR(__xludf.DUMMYFUNCTION("""COMPUTED_VALUE"""),"More than 10 years")</f>
        <v>More than 10 years</v>
      </c>
      <c r="P18" s="19" t="str">
        <f ca="1">IFERROR(__xludf.DUMMYFUNCTION("""COMPUTED_VALUE"""),"$11 million - $20 million")</f>
        <v>$11 million - $20 million</v>
      </c>
      <c r="Q18" s="19"/>
      <c r="R18" s="19"/>
      <c r="S18" s="19" t="str">
        <f ca="1">IFERROR(__xludf.DUMMYFUNCTION("""COMPUTED_VALUE"""),"Agency")</f>
        <v>Agency</v>
      </c>
      <c r="T18" s="19" t="str">
        <f ca="1">IFERROR(__xludf.DUMMYFUNCTION("""COMPUTED_VALUE"""),"Hourly rate")</f>
        <v>Hourly rate</v>
      </c>
      <c r="U18" s="21">
        <f ca="1">IFERROR(__xludf.DUMMYFUNCTION("""COMPUTED_VALUE"""),100)</f>
        <v>100</v>
      </c>
      <c r="V18" s="19"/>
      <c r="W18" s="19"/>
      <c r="X18" s="19"/>
      <c r="Y18" s="19"/>
      <c r="Z18" s="19"/>
    </row>
    <row r="19" spans="1:26" s="22" customFormat="1" ht="145.19999999999999" x14ac:dyDescent="0.25">
      <c r="A19" s="18"/>
      <c r="B19" s="19" t="str">
        <f ca="1">IFERROR(__xludf.DUMMYFUNCTION("""COMPUTED_VALUE"""),"Scott Stewart")</f>
        <v>Scott Stewart</v>
      </c>
      <c r="C19" s="19" t="str">
        <f ca="1">IFERROR(__xludf.DUMMYFUNCTION("""COMPUTED_VALUE"""),"Pontiac")</f>
        <v>Pontiac</v>
      </c>
      <c r="D19" s="19" t="str">
        <f ca="1">IFERROR(__xludf.DUMMYFUNCTION("""COMPUTED_VALUE"""),"MI")</f>
        <v>MI</v>
      </c>
      <c r="E19" s="19" t="str">
        <f ca="1">IFERROR(__xludf.DUMMYFUNCTION("""COMPUTED_VALUE"""),"scottallenstewart@gmail.com")</f>
        <v>scottallenstewart@gmail.com</v>
      </c>
      <c r="F19" s="19"/>
      <c r="G19" s="19"/>
      <c r="H19" s="19" t="str">
        <f ca="1">IFERROR(__xludf.DUMMYFUNCTION("""COMPUTED_VALUE"""),"248-224-2201")</f>
        <v>248-224-2201</v>
      </c>
      <c r="I19" s="19" t="str">
        <f ca="1">IFERROR(__xludf.DUMMYFUNCTION("""COMPUTED_VALUE"""),"Yes")</f>
        <v>Yes</v>
      </c>
      <c r="J19" s="19" t="str">
        <f ca="1">IFERROR(__xludf.DUMMYFUNCTION("""COMPUTED_VALUE"""),"Yes")</f>
        <v>Yes</v>
      </c>
      <c r="K19" s="20" t="str">
        <f ca="1">IFERROR(__xludf.DUMMYFUNCTION("""COMPUTED_VALUE"""),"Economic Development Administration, U.S. Department of Health and Human Services, U.S. Department of Justice, Small Business Administration")</f>
        <v>Economic Development Administration, U.S. Department of Health and Human Services, U.S. Department of Justice, Small Business Administration</v>
      </c>
      <c r="L19" s="20" t="str">
        <f ca="1">IFERROR(__xludf.DUMMYFUNCTION("""COMPUTED_VALUE"""),"State Agencies")</f>
        <v>State Agencies</v>
      </c>
      <c r="M19" s="20" t="str">
        <f ca="1">IFERROR(__xludf.DUMMYFUNCTION("""COMPUTED_VALUE"""),"Planning grants, Infrastructure/Construction, Non-construction/program, Capacity building, Technical Assistance   ")</f>
        <v xml:space="preserve">Planning grants, Infrastructure/Construction, Non-construction/program, Capacity building, Technical Assistance   </v>
      </c>
      <c r="N19" s="20" t="str">
        <f ca="1">IFERROR(__xludf.DUMMYFUNCTION("""COMPUTED_VALUE"""),"Prospecting, Assessing project readiness, New program development or expansion, Engaging public, private and non-profit stakeholders to support an application, Grants.gov navigation and submission, Liaising with federal agency representatives, Grants admi"&amp;"nistration, management and reporting, Familiarity with non-profit budgeting processes, Experience engaging city councils/board of commissioners, Working with underrepresented communities or communities of color, Experience working with Diversity, Equity a"&amp;"nd Inclusion initiatives")</f>
        <v>Prospecting, Assessing project readiness, New program development or expansion, Engaging public, private and non-profit stakeholders to support an application, Grants.gov navigation and submission, Liaising with federal agency representatives, Grants administration, management and reporting, Familiarity with non-profit budgeting processes, Experience engaging city councils/board of commissioners, Working with underrepresented communities or communities of color, Experience working with Diversity, Equity and Inclusion initiatives</v>
      </c>
      <c r="O19" s="19" t="str">
        <f ca="1">IFERROR(__xludf.DUMMYFUNCTION("""COMPUTED_VALUE"""),"7-10 years")</f>
        <v>7-10 years</v>
      </c>
      <c r="P19" s="19" t="str">
        <f ca="1">IFERROR(__xludf.DUMMYFUNCTION("""COMPUTED_VALUE"""),"$11 million - $20 million")</f>
        <v>$11 million - $20 million</v>
      </c>
      <c r="Q19" s="19"/>
      <c r="R19" s="19"/>
      <c r="S19" s="19" t="str">
        <f ca="1">IFERROR(__xludf.DUMMYFUNCTION("""COMPUTED_VALUE"""),"Individual")</f>
        <v>Individual</v>
      </c>
      <c r="T19" s="19" t="str">
        <f ca="1">IFERROR(__xludf.DUMMYFUNCTION("""COMPUTED_VALUE"""),"Hourly rate, Flat fee")</f>
        <v>Hourly rate, Flat fee</v>
      </c>
      <c r="U19" s="21">
        <f ca="1">IFERROR(__xludf.DUMMYFUNCTION("""COMPUTED_VALUE"""),75)</f>
        <v>75</v>
      </c>
      <c r="V19" s="19"/>
      <c r="W19" s="19"/>
      <c r="X19" s="19"/>
      <c r="Y19" s="19"/>
      <c r="Z19" s="19"/>
    </row>
    <row r="20" spans="1:26" s="22" customFormat="1" ht="158.4" x14ac:dyDescent="0.25">
      <c r="A20" s="18"/>
      <c r="B20" s="19" t="str">
        <f ca="1">IFERROR(__xludf.DUMMYFUNCTION("""COMPUTED_VALUE"""),"Autumn Smith-Amy")</f>
        <v>Autumn Smith-Amy</v>
      </c>
      <c r="C20" s="19" t="str">
        <f ca="1">IFERROR(__xludf.DUMMYFUNCTION("""COMPUTED_VALUE"""),"Anchorage")</f>
        <v>Anchorage</v>
      </c>
      <c r="D20" s="19" t="str">
        <f ca="1">IFERROR(__xludf.DUMMYFUNCTION("""COMPUTED_VALUE"""),"AK")</f>
        <v>AK</v>
      </c>
      <c r="E20" s="19" t="str">
        <f ca="1">IFERROR(__xludf.DUMMYFUNCTION("""COMPUTED_VALUE"""),"amyconsulting907@gmail.com")</f>
        <v>amyconsulting907@gmail.com</v>
      </c>
      <c r="F20" s="19"/>
      <c r="G20" s="19"/>
      <c r="H20" s="19" t="str">
        <f ca="1">IFERROR(__xludf.DUMMYFUNCTION("""COMPUTED_VALUE"""),"907-744-7003")</f>
        <v>907-744-7003</v>
      </c>
      <c r="I20" s="19" t="str">
        <f ca="1">IFERROR(__xludf.DUMMYFUNCTION("""COMPUTED_VALUE"""),"Yes")</f>
        <v>Yes</v>
      </c>
      <c r="J20" s="19" t="str">
        <f ca="1">IFERROR(__xludf.DUMMYFUNCTION("""COMPUTED_VALUE"""),"Yes")</f>
        <v>Yes</v>
      </c>
      <c r="K20" s="20" t="str">
        <f ca="1">IFERROR(__xludf.DUMMYFUNCTION("""COMPUTED_VALUE"""),"Housing and Urban Development, U.S. Department of Health and Human Services, U.S. Department of the Interior, Federal Emergency Management Agency (FEMA), U.S. Department of Justice, Small Business Administration")</f>
        <v>Housing and Urban Development, U.S. Department of Health and Human Services, U.S. Department of the Interior, Federal Emergency Management Agency (FEMA), U.S. Department of Justice, Small Business Administration</v>
      </c>
      <c r="L20" s="20" t="str">
        <f ca="1">IFERROR(__xludf.DUMMYFUNCTION("""COMPUTED_VALUE"""),"Federally Recognized Tribes")</f>
        <v>Federally Recognized Tribes</v>
      </c>
      <c r="M20" s="20" t="str">
        <f ca="1">IFERROR(__xludf.DUMMYFUNCTION("""COMPUTED_VALUE"""),"Planning grants, Non-construction/program, Capacity building, Technical assistance")</f>
        <v>Planning grants, Non-construction/program, Capacity building, Technical assistance</v>
      </c>
      <c r="N20" s="20" t="str">
        <f ca="1">IFERROR(__xludf.DUMMYFUNCTION("""COMPUTED_VALUE"""),"Prospecting, Assessing project readiness, New program development or expansion, Developing Sustainability Plans, Engaging public, private and non-profit stakeholders to support an application, Grants.gov navigation and submission, Liaising with federal ag"&amp;"ency representatives, Grants administration, management and reporting, Familiarity with non-profit budgeting processes, Experience engaging city councils/board of commissioners, Working with Tribal Entities, Working with underrepresented communities or co"&amp;"mmunities of color, Experience working with Diversity, Equity and Inclusion initiatives")</f>
        <v>Prospecting, Assessing project readiness, New program development or expansion, Developing Sustainability Plans, Engaging public, private and non-profit stakeholders to support an application, Grants.gov navigation and submission, Liaising with federal agency representatives, Grants administration, management and reporting, Familiarity with non-profit budgeting processes, Experience engaging city councils/board of commissioners, Working with Tribal Entities, Working with underrepresented communities or communities of color, Experience working with Diversity, Equity and Inclusion initiatives</v>
      </c>
      <c r="O20" s="19" t="str">
        <f ca="1">IFERROR(__xludf.DUMMYFUNCTION("""COMPUTED_VALUE"""),"7-10 years")</f>
        <v>7-10 years</v>
      </c>
      <c r="P20" s="19" t="str">
        <f ca="1">IFERROR(__xludf.DUMMYFUNCTION("""COMPUTED_VALUE"""),"$1 million - $5 million")</f>
        <v>$1 million - $5 million</v>
      </c>
      <c r="Q20" s="19"/>
      <c r="R20" s="19"/>
      <c r="S20" s="19" t="str">
        <f ca="1">IFERROR(__xludf.DUMMYFUNCTION("""COMPUTED_VALUE"""),"Agency")</f>
        <v>Agency</v>
      </c>
      <c r="T20" s="19" t="str">
        <f ca="1">IFERROR(__xludf.DUMMYFUNCTION("""COMPUTED_VALUE"""),"Hourly rate")</f>
        <v>Hourly rate</v>
      </c>
      <c r="U20" s="21">
        <f ca="1">IFERROR(__xludf.DUMMYFUNCTION("""COMPUTED_VALUE"""),82)</f>
        <v>82</v>
      </c>
      <c r="V20" s="19"/>
      <c r="W20" s="19"/>
      <c r="X20" s="19"/>
      <c r="Y20" s="19"/>
      <c r="Z20" s="19"/>
    </row>
    <row r="21" spans="1:26" s="22" customFormat="1" ht="92.4" x14ac:dyDescent="0.25">
      <c r="A21" s="18"/>
      <c r="B21" s="19" t="str">
        <f ca="1">IFERROR(__xludf.DUMMYFUNCTION("""COMPUTED_VALUE"""),"Yvette Collins")</f>
        <v>Yvette Collins</v>
      </c>
      <c r="C21" s="19" t="str">
        <f ca="1">IFERROR(__xludf.DUMMYFUNCTION("""COMPUTED_VALUE"""),"Lansing")</f>
        <v>Lansing</v>
      </c>
      <c r="D21" s="19" t="str">
        <f ca="1">IFERROR(__xludf.DUMMYFUNCTION("""COMPUTED_VALUE"""),"MI")</f>
        <v>MI</v>
      </c>
      <c r="E21" s="19" t="str">
        <f ca="1">IFERROR(__xludf.DUMMYFUNCTION("""COMPUTED_VALUE"""),"collinsyvette26@gmail.com")</f>
        <v>collinsyvette26@gmail.com</v>
      </c>
      <c r="F21" s="19"/>
      <c r="G21" s="19"/>
      <c r="H21" s="19" t="str">
        <f ca="1">IFERROR(__xludf.DUMMYFUNCTION("""COMPUTED_VALUE"""),"517-775-4208")</f>
        <v>517-775-4208</v>
      </c>
      <c r="I21" s="19" t="str">
        <f ca="1">IFERROR(__xludf.DUMMYFUNCTION("""COMPUTED_VALUE"""),"Yes")</f>
        <v>Yes</v>
      </c>
      <c r="J21" s="19" t="str">
        <f ca="1">IFERROR(__xludf.DUMMYFUNCTION("""COMPUTED_VALUE"""),"Yes")</f>
        <v>Yes</v>
      </c>
      <c r="K21" s="20" t="str">
        <f ca="1">IFERROR(__xludf.DUMMYFUNCTION("""COMPUTED_VALUE"""),"Housing and Urban Development")</f>
        <v>Housing and Urban Development</v>
      </c>
      <c r="L21" s="20" t="str">
        <f ca="1">IFERROR(__xludf.DUMMYFUNCTION("""COMPUTED_VALUE"""),"Congressional Community Funding Project")</f>
        <v>Congressional Community Funding Project</v>
      </c>
      <c r="M21" s="20" t="str">
        <f ca="1">IFERROR(__xludf.DUMMYFUNCTION("""COMPUTED_VALUE"""),"Planning grants, Infrastructure/Construction, Non-construction/program")</f>
        <v>Planning grants, Infrastructure/Construction, Non-construction/program</v>
      </c>
      <c r="N21" s="20" t="str">
        <f ca="1">IFERROR(__xludf.DUMMYFUNCTION("""COMPUTED_VALUE"""),"Prospecting, Engaging public, private and non-profit stakeholders to support an application, Grants.gov navigation and submission, Liaising with federal agency representatives, Grants administration, management and reporting, Experience engaging city coun"&amp;"cils/board of commissioners, Working with underrepresented communities or communities of color, ")</f>
        <v xml:space="preserve">Prospecting, Engaging public, private and non-profit stakeholders to support an application, Grants.gov navigation and submission, Liaising with federal agency representatives, Grants administration, management and reporting, Experience engaging city councils/board of commissioners, Working with underrepresented communities or communities of color, </v>
      </c>
      <c r="O21" s="19" t="str">
        <f ca="1">IFERROR(__xludf.DUMMYFUNCTION("""COMPUTED_VALUE"""),"0-3 years")</f>
        <v>0-3 years</v>
      </c>
      <c r="P21" s="19" t="str">
        <f ca="1">IFERROR(__xludf.DUMMYFUNCTION("""COMPUTED_VALUE"""),"$1 million - $5 million")</f>
        <v>$1 million - $5 million</v>
      </c>
      <c r="Q21" s="19"/>
      <c r="R21" s="19"/>
      <c r="S21" s="19" t="str">
        <f ca="1">IFERROR(__xludf.DUMMYFUNCTION("""COMPUTED_VALUE"""),"Individual")</f>
        <v>Individual</v>
      </c>
      <c r="T21" s="19" t="str">
        <f ca="1">IFERROR(__xludf.DUMMYFUNCTION("""COMPUTED_VALUE"""),"Hourly rate")</f>
        <v>Hourly rate</v>
      </c>
      <c r="U21" s="21">
        <f ca="1">IFERROR(__xludf.DUMMYFUNCTION("""COMPUTED_VALUE"""),55)</f>
        <v>55</v>
      </c>
      <c r="V21" s="19"/>
      <c r="W21" s="19"/>
      <c r="X21" s="19"/>
      <c r="Y21" s="19"/>
      <c r="Z21" s="19"/>
    </row>
    <row r="22" spans="1:26" ht="13.2" x14ac:dyDescent="0.25">
      <c r="A22" s="1"/>
      <c r="B22" s="3"/>
      <c r="C22" s="3"/>
      <c r="D22" s="3"/>
      <c r="E22" s="3"/>
      <c r="F22" s="3"/>
      <c r="G22" s="3"/>
      <c r="H22" s="3"/>
      <c r="I22" s="3"/>
      <c r="J22" s="3"/>
      <c r="K22" s="4"/>
      <c r="L22" s="4"/>
      <c r="M22" s="4"/>
      <c r="N22" s="4"/>
      <c r="O22" s="3"/>
      <c r="P22" s="3"/>
      <c r="Q22" s="3"/>
      <c r="R22" s="3"/>
      <c r="S22" s="3"/>
      <c r="T22" s="3"/>
      <c r="U22" s="11"/>
      <c r="V22" s="3"/>
      <c r="W22" s="3"/>
      <c r="X22" s="3"/>
      <c r="Y22" s="3"/>
      <c r="Z22" s="3"/>
    </row>
    <row r="23" spans="1:26" ht="13.2" x14ac:dyDescent="0.25">
      <c r="A23" s="1"/>
      <c r="B23" s="3"/>
      <c r="C23" s="3"/>
      <c r="D23" s="3"/>
      <c r="E23" s="3"/>
      <c r="F23" s="3"/>
      <c r="G23" s="3"/>
      <c r="H23" s="3"/>
      <c r="I23" s="3"/>
      <c r="J23" s="3"/>
      <c r="K23" s="4"/>
      <c r="L23" s="4"/>
      <c r="M23" s="4"/>
      <c r="N23" s="4"/>
      <c r="O23" s="3"/>
      <c r="P23" s="3"/>
      <c r="Q23" s="3"/>
      <c r="R23" s="3"/>
      <c r="S23" s="3"/>
      <c r="T23" s="3"/>
      <c r="U23" s="11"/>
      <c r="V23" s="3"/>
      <c r="W23" s="3"/>
      <c r="X23" s="3"/>
      <c r="Y23" s="3"/>
      <c r="Z23" s="3"/>
    </row>
    <row r="24" spans="1:26" ht="13.2" x14ac:dyDescent="0.25">
      <c r="A24" s="1"/>
      <c r="B24" s="3"/>
      <c r="C24" s="3"/>
      <c r="D24" s="3"/>
      <c r="E24" s="3"/>
      <c r="F24" s="3"/>
      <c r="G24" s="3"/>
      <c r="H24" s="3"/>
      <c r="I24" s="3"/>
      <c r="J24" s="3"/>
      <c r="K24" s="4"/>
      <c r="L24" s="4"/>
      <c r="M24" s="4"/>
      <c r="N24" s="4"/>
      <c r="O24" s="3"/>
      <c r="P24" s="3"/>
      <c r="Q24" s="3"/>
      <c r="R24" s="3"/>
      <c r="S24" s="3"/>
      <c r="T24" s="3"/>
      <c r="U24" s="11"/>
      <c r="V24" s="3"/>
      <c r="W24" s="3"/>
      <c r="X24" s="3"/>
      <c r="Y24" s="3"/>
      <c r="Z24" s="3"/>
    </row>
    <row r="25" spans="1:26" ht="13.2" x14ac:dyDescent="0.25">
      <c r="A25" s="1"/>
      <c r="B25" s="3"/>
      <c r="C25" s="3"/>
      <c r="D25" s="3"/>
      <c r="E25" s="3"/>
      <c r="F25" s="3"/>
      <c r="G25" s="3"/>
      <c r="H25" s="3"/>
      <c r="I25" s="3"/>
      <c r="J25" s="3"/>
      <c r="K25" s="4"/>
      <c r="L25" s="4"/>
      <c r="M25" s="4"/>
      <c r="N25" s="4"/>
      <c r="O25" s="3"/>
      <c r="P25" s="3"/>
      <c r="Q25" s="3"/>
      <c r="R25" s="3"/>
      <c r="S25" s="3"/>
      <c r="T25" s="3"/>
      <c r="U25" s="11"/>
      <c r="V25" s="3"/>
      <c r="W25" s="3"/>
      <c r="X25" s="3"/>
      <c r="Y25" s="3"/>
      <c r="Z25" s="3"/>
    </row>
    <row r="26" spans="1:26" ht="13.2" x14ac:dyDescent="0.25">
      <c r="A26" s="1"/>
      <c r="B26" s="3"/>
      <c r="C26" s="3"/>
      <c r="D26" s="3"/>
      <c r="E26" s="3"/>
      <c r="F26" s="3"/>
      <c r="G26" s="3"/>
      <c r="H26" s="3"/>
      <c r="I26" s="3"/>
      <c r="J26" s="3"/>
      <c r="K26" s="4"/>
      <c r="L26" s="4"/>
      <c r="M26" s="4"/>
      <c r="N26" s="4"/>
      <c r="O26" s="3"/>
      <c r="P26" s="3"/>
      <c r="Q26" s="3"/>
      <c r="R26" s="3"/>
      <c r="S26" s="3"/>
      <c r="T26" s="3"/>
      <c r="U26" s="11"/>
      <c r="V26" s="3"/>
      <c r="W26" s="3"/>
      <c r="X26" s="3"/>
      <c r="Y26" s="3"/>
      <c r="Z26" s="3"/>
    </row>
    <row r="27" spans="1:26" ht="13.2" x14ac:dyDescent="0.25">
      <c r="A27" s="1"/>
      <c r="B27" s="3"/>
      <c r="C27" s="3"/>
      <c r="D27" s="3"/>
      <c r="E27" s="3"/>
      <c r="F27" s="3"/>
      <c r="G27" s="3"/>
      <c r="H27" s="3"/>
      <c r="I27" s="3"/>
      <c r="J27" s="3"/>
      <c r="K27" s="4"/>
      <c r="L27" s="4"/>
      <c r="M27" s="4"/>
      <c r="N27" s="4"/>
      <c r="O27" s="3"/>
      <c r="P27" s="3"/>
      <c r="Q27" s="3"/>
      <c r="R27" s="3"/>
      <c r="S27" s="3"/>
      <c r="T27" s="3"/>
      <c r="U27" s="11"/>
      <c r="V27" s="3"/>
      <c r="W27" s="3"/>
      <c r="X27" s="3"/>
      <c r="Y27" s="3"/>
      <c r="Z27" s="3"/>
    </row>
    <row r="28" spans="1:26" ht="13.2" x14ac:dyDescent="0.25">
      <c r="A28" s="12"/>
      <c r="B28" s="5"/>
      <c r="C28" s="5"/>
      <c r="D28" s="5"/>
      <c r="E28" s="5"/>
      <c r="F28" s="5"/>
      <c r="G28" s="5"/>
      <c r="H28" s="5"/>
      <c r="I28" s="5"/>
      <c r="J28" s="5"/>
      <c r="K28" s="6"/>
      <c r="L28" s="6"/>
      <c r="M28" s="6"/>
      <c r="N28" s="6"/>
      <c r="O28" s="5"/>
      <c r="P28" s="5"/>
      <c r="Q28" s="5"/>
      <c r="R28" s="5"/>
      <c r="S28" s="5"/>
      <c r="T28" s="5"/>
      <c r="U28" s="7"/>
      <c r="V28" s="5"/>
      <c r="W28" s="5"/>
      <c r="X28" s="5"/>
      <c r="Y28" s="5"/>
    </row>
    <row r="29" spans="1:26" ht="13.2" x14ac:dyDescent="0.25">
      <c r="A29" s="12"/>
      <c r="B29" s="5"/>
      <c r="C29" s="5"/>
      <c r="D29" s="5"/>
      <c r="E29" s="5"/>
      <c r="F29" s="5"/>
      <c r="G29" s="5"/>
      <c r="H29" s="5"/>
      <c r="I29" s="5"/>
      <c r="J29" s="5"/>
      <c r="K29" s="6"/>
      <c r="L29" s="6"/>
      <c r="M29" s="6"/>
      <c r="N29" s="6"/>
      <c r="O29" s="5"/>
      <c r="P29" s="5"/>
      <c r="Q29" s="5"/>
      <c r="R29" s="5"/>
      <c r="S29" s="5"/>
      <c r="T29" s="5"/>
      <c r="U29" s="7"/>
      <c r="V29" s="5"/>
      <c r="W29" s="5"/>
      <c r="X29" s="5"/>
      <c r="Y29" s="5"/>
    </row>
    <row r="30" spans="1:26" ht="13.2" x14ac:dyDescent="0.25">
      <c r="A30" s="12"/>
      <c r="B30" s="5"/>
      <c r="C30" s="5"/>
      <c r="D30" s="5"/>
      <c r="E30" s="5"/>
      <c r="F30" s="5"/>
      <c r="G30" s="5"/>
      <c r="H30" s="5"/>
      <c r="I30" s="5"/>
      <c r="J30" s="5"/>
      <c r="K30" s="6"/>
      <c r="L30" s="6"/>
      <c r="M30" s="6"/>
      <c r="N30" s="6"/>
      <c r="O30" s="5"/>
      <c r="P30" s="5"/>
      <c r="Q30" s="5"/>
      <c r="R30" s="5"/>
      <c r="S30" s="5"/>
      <c r="T30" s="5"/>
      <c r="U30" s="7"/>
      <c r="V30" s="5"/>
      <c r="W30" s="5"/>
      <c r="X30" s="5"/>
      <c r="Y30" s="5"/>
    </row>
    <row r="31" spans="1:26" ht="13.2" x14ac:dyDescent="0.25">
      <c r="A31" s="12"/>
      <c r="B31" s="5"/>
      <c r="C31" s="5"/>
      <c r="D31" s="5"/>
      <c r="E31" s="5"/>
      <c r="F31" s="5"/>
      <c r="G31" s="5"/>
      <c r="H31" s="5"/>
      <c r="I31" s="5"/>
      <c r="J31" s="5"/>
      <c r="K31" s="6"/>
      <c r="L31" s="6"/>
      <c r="M31" s="6"/>
      <c r="N31" s="6"/>
      <c r="O31" s="5"/>
      <c r="P31" s="5"/>
      <c r="Q31" s="5"/>
      <c r="R31" s="5"/>
      <c r="S31" s="5"/>
      <c r="T31" s="5"/>
      <c r="U31" s="7"/>
      <c r="V31" s="5"/>
      <c r="W31" s="5"/>
      <c r="X31" s="5"/>
      <c r="Y31" s="5"/>
    </row>
    <row r="32" spans="1:26" ht="13.2" x14ac:dyDescent="0.25">
      <c r="A32" s="12"/>
      <c r="B32" s="5"/>
      <c r="C32" s="5"/>
      <c r="D32" s="5"/>
      <c r="E32" s="5"/>
      <c r="F32" s="5"/>
      <c r="G32" s="5"/>
      <c r="H32" s="5"/>
      <c r="I32" s="5"/>
      <c r="J32" s="5"/>
      <c r="K32" s="6"/>
      <c r="L32" s="6"/>
      <c r="M32" s="6"/>
      <c r="N32" s="6"/>
      <c r="O32" s="5"/>
      <c r="P32" s="5"/>
      <c r="Q32" s="5"/>
      <c r="R32" s="5"/>
      <c r="S32" s="5"/>
      <c r="T32" s="5"/>
      <c r="U32" s="7"/>
      <c r="V32" s="5"/>
      <c r="W32" s="5"/>
      <c r="X32" s="5"/>
      <c r="Y32" s="5"/>
    </row>
    <row r="33" spans="1:25" ht="13.2" x14ac:dyDescent="0.25">
      <c r="A33" s="12"/>
      <c r="B33" s="5"/>
      <c r="C33" s="5"/>
      <c r="D33" s="5"/>
      <c r="E33" s="5"/>
      <c r="F33" s="5"/>
      <c r="G33" s="5"/>
      <c r="H33" s="5"/>
      <c r="I33" s="5"/>
      <c r="J33" s="5"/>
      <c r="K33" s="6"/>
      <c r="L33" s="6"/>
      <c r="M33" s="6"/>
      <c r="N33" s="6"/>
      <c r="O33" s="5"/>
      <c r="P33" s="5"/>
      <c r="Q33" s="5"/>
      <c r="R33" s="5"/>
      <c r="S33" s="5"/>
      <c r="T33" s="5"/>
      <c r="U33" s="7"/>
      <c r="V33" s="5"/>
      <c r="W33" s="5"/>
      <c r="X33" s="5"/>
      <c r="Y33" s="5"/>
    </row>
    <row r="34" spans="1:25" ht="13.2" x14ac:dyDescent="0.25">
      <c r="A34" s="12"/>
      <c r="B34" s="5"/>
      <c r="C34" s="5"/>
      <c r="D34" s="5"/>
      <c r="E34" s="5"/>
      <c r="F34" s="5"/>
      <c r="G34" s="5"/>
      <c r="H34" s="5"/>
      <c r="I34" s="5"/>
      <c r="J34" s="5"/>
      <c r="K34" s="6"/>
      <c r="L34" s="6"/>
      <c r="M34" s="6"/>
      <c r="N34" s="6"/>
      <c r="O34" s="5"/>
      <c r="P34" s="5"/>
      <c r="Q34" s="5"/>
      <c r="R34" s="5"/>
      <c r="S34" s="5"/>
      <c r="T34" s="5"/>
      <c r="U34" s="7"/>
      <c r="V34" s="5"/>
      <c r="W34" s="5"/>
      <c r="X34" s="5"/>
      <c r="Y34" s="5"/>
    </row>
    <row r="35" spans="1:25" ht="13.2" x14ac:dyDescent="0.25">
      <c r="A35" s="12"/>
      <c r="B35" s="5"/>
      <c r="C35" s="5"/>
      <c r="D35" s="5"/>
      <c r="E35" s="5"/>
      <c r="F35" s="5"/>
      <c r="G35" s="5"/>
      <c r="H35" s="5"/>
      <c r="I35" s="5"/>
      <c r="J35" s="5"/>
      <c r="K35" s="6"/>
      <c r="L35" s="6"/>
      <c r="M35" s="6"/>
      <c r="N35" s="6"/>
      <c r="O35" s="5"/>
      <c r="P35" s="5"/>
      <c r="Q35" s="5"/>
      <c r="R35" s="5"/>
      <c r="S35" s="5"/>
      <c r="T35" s="5"/>
      <c r="U35" s="7"/>
      <c r="V35" s="5"/>
      <c r="W35" s="5"/>
      <c r="X35" s="5"/>
      <c r="Y35" s="5"/>
    </row>
    <row r="36" spans="1:25" ht="13.2" x14ac:dyDescent="0.25">
      <c r="A36" s="12"/>
      <c r="B36" s="5"/>
      <c r="C36" s="5"/>
      <c r="D36" s="5"/>
      <c r="E36" s="5"/>
      <c r="F36" s="5"/>
      <c r="G36" s="5"/>
      <c r="H36" s="5"/>
      <c r="I36" s="5"/>
      <c r="J36" s="5"/>
      <c r="K36" s="6"/>
      <c r="L36" s="6"/>
      <c r="M36" s="6"/>
      <c r="N36" s="6"/>
      <c r="O36" s="5"/>
      <c r="P36" s="5"/>
      <c r="Q36" s="5"/>
      <c r="R36" s="5"/>
      <c r="S36" s="5"/>
      <c r="T36" s="5"/>
      <c r="U36" s="7"/>
      <c r="V36" s="5"/>
      <c r="W36" s="5"/>
      <c r="X36" s="5"/>
      <c r="Y36" s="5"/>
    </row>
    <row r="37" spans="1:25" ht="13.2" x14ac:dyDescent="0.25">
      <c r="A37" s="12"/>
      <c r="B37" s="5"/>
      <c r="C37" s="5"/>
      <c r="D37" s="5"/>
      <c r="E37" s="5"/>
      <c r="F37" s="5"/>
      <c r="G37" s="5"/>
      <c r="H37" s="5"/>
      <c r="I37" s="5"/>
      <c r="J37" s="5"/>
      <c r="K37" s="6"/>
      <c r="L37" s="6"/>
      <c r="M37" s="6"/>
      <c r="N37" s="6"/>
      <c r="O37" s="5"/>
      <c r="P37" s="5"/>
      <c r="Q37" s="5"/>
      <c r="R37" s="5"/>
      <c r="S37" s="5"/>
      <c r="T37" s="5"/>
      <c r="U37" s="7"/>
      <c r="V37" s="5"/>
      <c r="W37" s="5"/>
      <c r="X37" s="5"/>
      <c r="Y37" s="5"/>
    </row>
    <row r="38" spans="1:25" ht="13.2" x14ac:dyDescent="0.25">
      <c r="A38" s="12"/>
      <c r="B38" s="5"/>
      <c r="C38" s="5"/>
      <c r="D38" s="5"/>
      <c r="E38" s="5"/>
      <c r="F38" s="5"/>
      <c r="G38" s="5"/>
      <c r="H38" s="5"/>
      <c r="I38" s="5"/>
      <c r="J38" s="5"/>
      <c r="K38" s="6"/>
      <c r="L38" s="6"/>
      <c r="M38" s="6"/>
      <c r="N38" s="6"/>
      <c r="O38" s="5"/>
      <c r="P38" s="5"/>
      <c r="Q38" s="5"/>
      <c r="R38" s="5"/>
      <c r="S38" s="5"/>
      <c r="T38" s="5"/>
      <c r="U38" s="7"/>
      <c r="V38" s="5"/>
      <c r="W38" s="5"/>
      <c r="X38" s="5"/>
      <c r="Y38" s="5"/>
    </row>
    <row r="39" spans="1:25" ht="13.2" x14ac:dyDescent="0.25">
      <c r="A39" s="12"/>
      <c r="B39" s="5"/>
      <c r="C39" s="5"/>
      <c r="D39" s="5"/>
      <c r="E39" s="5"/>
      <c r="F39" s="5"/>
      <c r="G39" s="5"/>
      <c r="H39" s="5"/>
      <c r="I39" s="5"/>
      <c r="J39" s="5"/>
      <c r="K39" s="6"/>
      <c r="L39" s="6"/>
      <c r="M39" s="6"/>
      <c r="N39" s="6"/>
      <c r="O39" s="5"/>
      <c r="P39" s="5"/>
      <c r="Q39" s="5"/>
      <c r="R39" s="5"/>
      <c r="S39" s="5"/>
      <c r="T39" s="5"/>
      <c r="U39" s="7"/>
      <c r="V39" s="5"/>
      <c r="W39" s="5"/>
      <c r="X39" s="5"/>
      <c r="Y39" s="5"/>
    </row>
    <row r="40" spans="1:25" ht="13.2" x14ac:dyDescent="0.25">
      <c r="A40" s="12"/>
      <c r="B40" s="5"/>
      <c r="C40" s="5"/>
      <c r="D40" s="5"/>
      <c r="E40" s="5"/>
      <c r="F40" s="5"/>
      <c r="G40" s="5"/>
      <c r="H40" s="5"/>
      <c r="I40" s="5"/>
      <c r="J40" s="5"/>
      <c r="K40" s="6"/>
      <c r="L40" s="6"/>
      <c r="M40" s="6"/>
      <c r="N40" s="6"/>
      <c r="O40" s="5"/>
      <c r="P40" s="5"/>
      <c r="Q40" s="5"/>
      <c r="R40" s="5"/>
      <c r="S40" s="5"/>
      <c r="T40" s="5"/>
      <c r="U40" s="7"/>
      <c r="V40" s="5"/>
      <c r="W40" s="5"/>
      <c r="X40" s="5"/>
      <c r="Y40" s="5"/>
    </row>
    <row r="41" spans="1:25" ht="13.2" x14ac:dyDescent="0.25">
      <c r="A41" s="12"/>
      <c r="B41" s="5"/>
      <c r="C41" s="5"/>
      <c r="D41" s="5"/>
      <c r="E41" s="5"/>
      <c r="F41" s="5"/>
      <c r="G41" s="5"/>
      <c r="H41" s="5"/>
      <c r="I41" s="5"/>
      <c r="J41" s="5"/>
      <c r="K41" s="6"/>
      <c r="L41" s="6"/>
      <c r="M41" s="6"/>
      <c r="N41" s="6"/>
      <c r="O41" s="5"/>
      <c r="P41" s="5"/>
      <c r="Q41" s="5"/>
      <c r="R41" s="5"/>
      <c r="S41" s="5"/>
      <c r="T41" s="5"/>
      <c r="U41" s="7"/>
      <c r="V41" s="5"/>
      <c r="W41" s="5"/>
      <c r="X41" s="5"/>
      <c r="Y41" s="5"/>
    </row>
    <row r="42" spans="1:25" ht="13.2" x14ac:dyDescent="0.25">
      <c r="A42" s="12"/>
      <c r="B42" s="5"/>
      <c r="C42" s="5"/>
      <c r="D42" s="5"/>
      <c r="E42" s="5"/>
      <c r="F42" s="5"/>
      <c r="G42" s="5"/>
      <c r="H42" s="5"/>
      <c r="I42" s="5"/>
      <c r="J42" s="5"/>
      <c r="K42" s="6"/>
      <c r="L42" s="6"/>
      <c r="M42" s="6"/>
      <c r="N42" s="6"/>
      <c r="O42" s="5"/>
      <c r="P42" s="5"/>
      <c r="Q42" s="5"/>
      <c r="R42" s="5"/>
      <c r="S42" s="5"/>
      <c r="T42" s="5"/>
      <c r="U42" s="7"/>
      <c r="V42" s="5"/>
      <c r="W42" s="5"/>
      <c r="X42" s="5"/>
      <c r="Y42" s="5"/>
    </row>
    <row r="43" spans="1:25" ht="13.2" x14ac:dyDescent="0.25">
      <c r="A43" s="12"/>
      <c r="B43" s="5"/>
      <c r="C43" s="5"/>
      <c r="D43" s="5"/>
      <c r="E43" s="5"/>
      <c r="F43" s="5"/>
      <c r="G43" s="5"/>
      <c r="H43" s="5"/>
      <c r="I43" s="5"/>
      <c r="J43" s="5"/>
      <c r="K43" s="6"/>
      <c r="L43" s="6"/>
      <c r="M43" s="6"/>
      <c r="N43" s="6"/>
      <c r="O43" s="5"/>
      <c r="P43" s="5"/>
      <c r="Q43" s="5"/>
      <c r="R43" s="5"/>
      <c r="S43" s="5"/>
      <c r="T43" s="5"/>
      <c r="U43" s="7"/>
      <c r="V43" s="5"/>
      <c r="W43" s="5"/>
      <c r="X43" s="5"/>
      <c r="Y43" s="5"/>
    </row>
    <row r="44" spans="1:25" ht="13.2" x14ac:dyDescent="0.25">
      <c r="A44" s="12"/>
      <c r="B44" s="5"/>
      <c r="C44" s="5"/>
      <c r="D44" s="5"/>
      <c r="E44" s="5"/>
      <c r="F44" s="5"/>
      <c r="G44" s="5"/>
      <c r="H44" s="5"/>
      <c r="I44" s="5"/>
      <c r="J44" s="5"/>
      <c r="K44" s="6"/>
      <c r="L44" s="6"/>
      <c r="M44" s="6"/>
      <c r="N44" s="6"/>
      <c r="O44" s="5"/>
      <c r="P44" s="5"/>
      <c r="Q44" s="5"/>
      <c r="R44" s="5"/>
      <c r="S44" s="5"/>
      <c r="T44" s="5"/>
      <c r="U44" s="7"/>
      <c r="V44" s="5"/>
      <c r="W44" s="5"/>
      <c r="X44" s="5"/>
      <c r="Y44" s="5"/>
    </row>
    <row r="45" spans="1:25" ht="13.2" x14ac:dyDescent="0.25">
      <c r="A45" s="12"/>
      <c r="B45" s="5"/>
      <c r="C45" s="5"/>
      <c r="D45" s="5"/>
      <c r="E45" s="5"/>
      <c r="F45" s="5"/>
      <c r="G45" s="5"/>
      <c r="H45" s="5"/>
      <c r="I45" s="5"/>
      <c r="J45" s="5"/>
      <c r="K45" s="6"/>
      <c r="L45" s="6"/>
      <c r="M45" s="6"/>
      <c r="N45" s="6"/>
      <c r="O45" s="5"/>
      <c r="P45" s="5"/>
      <c r="Q45" s="5"/>
      <c r="R45" s="5"/>
      <c r="S45" s="5"/>
      <c r="T45" s="5"/>
      <c r="U45" s="7"/>
      <c r="V45" s="5"/>
      <c r="W45" s="5"/>
      <c r="X45" s="5"/>
      <c r="Y45" s="5"/>
    </row>
    <row r="46" spans="1:25" ht="13.2" x14ac:dyDescent="0.25">
      <c r="A46" s="12"/>
      <c r="B46" s="5"/>
      <c r="C46" s="5"/>
      <c r="D46" s="5"/>
      <c r="E46" s="5"/>
      <c r="F46" s="5"/>
      <c r="G46" s="5"/>
      <c r="H46" s="5"/>
      <c r="I46" s="5"/>
      <c r="J46" s="5"/>
      <c r="K46" s="6"/>
      <c r="L46" s="6"/>
      <c r="M46" s="6"/>
      <c r="N46" s="6"/>
      <c r="O46" s="5"/>
      <c r="P46" s="5"/>
      <c r="Q46" s="5"/>
      <c r="R46" s="5"/>
      <c r="S46" s="5"/>
      <c r="T46" s="5"/>
      <c r="U46" s="7"/>
      <c r="V46" s="5"/>
      <c r="W46" s="5"/>
      <c r="X46" s="5"/>
      <c r="Y46" s="5"/>
    </row>
    <row r="47" spans="1:25" ht="13.2" x14ac:dyDescent="0.25">
      <c r="A47" s="12"/>
      <c r="B47" s="5"/>
      <c r="C47" s="5"/>
      <c r="D47" s="5"/>
      <c r="E47" s="5"/>
      <c r="F47" s="5"/>
      <c r="G47" s="5"/>
      <c r="H47" s="5"/>
      <c r="I47" s="5"/>
      <c r="J47" s="5"/>
      <c r="K47" s="6"/>
      <c r="L47" s="6"/>
      <c r="M47" s="6"/>
      <c r="N47" s="6"/>
      <c r="O47" s="5"/>
      <c r="P47" s="5"/>
      <c r="Q47" s="5"/>
      <c r="R47" s="5"/>
      <c r="S47" s="5"/>
      <c r="T47" s="5"/>
      <c r="U47" s="7"/>
      <c r="V47" s="5"/>
      <c r="W47" s="5"/>
      <c r="X47" s="5"/>
      <c r="Y47" s="5"/>
    </row>
    <row r="48" spans="1:25" ht="13.2" x14ac:dyDescent="0.25">
      <c r="A48" s="12"/>
      <c r="B48" s="5"/>
      <c r="C48" s="5"/>
      <c r="D48" s="5"/>
      <c r="E48" s="5"/>
      <c r="F48" s="5"/>
      <c r="G48" s="5"/>
      <c r="H48" s="5"/>
      <c r="I48" s="5"/>
      <c r="J48" s="5"/>
      <c r="K48" s="6"/>
      <c r="L48" s="6"/>
      <c r="M48" s="6"/>
      <c r="N48" s="6"/>
      <c r="O48" s="5"/>
      <c r="P48" s="5"/>
      <c r="Q48" s="5"/>
      <c r="R48" s="5"/>
      <c r="S48" s="5"/>
      <c r="T48" s="5"/>
      <c r="U48" s="7"/>
      <c r="V48" s="5"/>
      <c r="W48" s="5"/>
      <c r="X48" s="5"/>
      <c r="Y48" s="5"/>
    </row>
    <row r="49" spans="1:25" ht="13.2" x14ac:dyDescent="0.25">
      <c r="A49" s="12"/>
      <c r="B49" s="5"/>
      <c r="C49" s="5"/>
      <c r="D49" s="5"/>
      <c r="E49" s="5"/>
      <c r="F49" s="5"/>
      <c r="G49" s="5"/>
      <c r="H49" s="5"/>
      <c r="I49" s="5"/>
      <c r="J49" s="5"/>
      <c r="K49" s="6"/>
      <c r="L49" s="6"/>
      <c r="M49" s="6"/>
      <c r="N49" s="6"/>
      <c r="O49" s="5"/>
      <c r="P49" s="5"/>
      <c r="Q49" s="5"/>
      <c r="R49" s="5"/>
      <c r="S49" s="5"/>
      <c r="T49" s="5"/>
      <c r="U49" s="7"/>
      <c r="V49" s="5"/>
      <c r="W49" s="5"/>
      <c r="X49" s="5"/>
      <c r="Y49" s="5"/>
    </row>
    <row r="50" spans="1:25" ht="13.2" x14ac:dyDescent="0.25">
      <c r="A50" s="12"/>
      <c r="B50" s="5"/>
      <c r="C50" s="5"/>
      <c r="D50" s="5"/>
      <c r="E50" s="5"/>
      <c r="F50" s="5"/>
      <c r="G50" s="5"/>
      <c r="H50" s="5"/>
      <c r="I50" s="5"/>
      <c r="J50" s="5"/>
      <c r="K50" s="6"/>
      <c r="L50" s="6"/>
      <c r="M50" s="6"/>
      <c r="N50" s="6"/>
      <c r="O50" s="5"/>
      <c r="P50" s="5"/>
      <c r="Q50" s="5"/>
      <c r="R50" s="5"/>
      <c r="S50" s="5"/>
      <c r="T50" s="5"/>
      <c r="U50" s="7"/>
      <c r="V50" s="5"/>
      <c r="W50" s="5"/>
      <c r="X50" s="5"/>
      <c r="Y50" s="5"/>
    </row>
    <row r="51" spans="1:25" ht="13.2" x14ac:dyDescent="0.25">
      <c r="A51" s="12"/>
      <c r="B51" s="5"/>
      <c r="C51" s="5"/>
      <c r="D51" s="5"/>
      <c r="E51" s="5"/>
      <c r="F51" s="5"/>
      <c r="G51" s="5"/>
      <c r="H51" s="5"/>
      <c r="I51" s="5"/>
      <c r="J51" s="5"/>
      <c r="K51" s="6"/>
      <c r="L51" s="6"/>
      <c r="M51" s="6"/>
      <c r="N51" s="6"/>
      <c r="O51" s="5"/>
      <c r="P51" s="5"/>
      <c r="Q51" s="5"/>
      <c r="R51" s="5"/>
      <c r="S51" s="5"/>
      <c r="T51" s="5"/>
      <c r="U51" s="7"/>
      <c r="V51" s="5"/>
      <c r="W51" s="5"/>
      <c r="X51" s="5"/>
      <c r="Y51" s="5"/>
    </row>
    <row r="52" spans="1:25" ht="13.2" x14ac:dyDescent="0.25">
      <c r="A52" s="12"/>
      <c r="B52" s="5"/>
      <c r="C52" s="5"/>
      <c r="D52" s="5"/>
      <c r="E52" s="5"/>
      <c r="F52" s="5"/>
      <c r="G52" s="5"/>
      <c r="H52" s="5"/>
      <c r="I52" s="5"/>
      <c r="J52" s="5"/>
      <c r="K52" s="6"/>
      <c r="L52" s="6"/>
      <c r="M52" s="6"/>
      <c r="N52" s="6"/>
      <c r="O52" s="5"/>
      <c r="P52" s="5"/>
      <c r="Q52" s="5"/>
      <c r="R52" s="5"/>
      <c r="S52" s="5"/>
      <c r="T52" s="5"/>
      <c r="U52" s="7"/>
      <c r="V52" s="5"/>
      <c r="W52" s="5"/>
      <c r="X52" s="5"/>
      <c r="Y52" s="5"/>
    </row>
    <row r="53" spans="1:25" ht="13.2" x14ac:dyDescent="0.25">
      <c r="A53" s="12"/>
      <c r="B53" s="5"/>
      <c r="C53" s="5"/>
      <c r="D53" s="5"/>
      <c r="E53" s="5"/>
      <c r="F53" s="5"/>
      <c r="G53" s="5"/>
      <c r="H53" s="5"/>
      <c r="I53" s="5"/>
      <c r="J53" s="5"/>
      <c r="K53" s="6"/>
      <c r="L53" s="6"/>
      <c r="M53" s="6"/>
      <c r="N53" s="6"/>
      <c r="O53" s="5"/>
      <c r="P53" s="5"/>
      <c r="Q53" s="5"/>
      <c r="R53" s="5"/>
      <c r="S53" s="5"/>
      <c r="T53" s="5"/>
      <c r="U53" s="7"/>
      <c r="V53" s="5"/>
      <c r="W53" s="5"/>
      <c r="X53" s="5"/>
      <c r="Y53" s="5"/>
    </row>
    <row r="54" spans="1:25" ht="13.2" x14ac:dyDescent="0.25">
      <c r="A54" s="12"/>
      <c r="B54" s="5"/>
      <c r="C54" s="5"/>
      <c r="D54" s="5"/>
      <c r="E54" s="5"/>
      <c r="F54" s="5"/>
      <c r="G54" s="5"/>
      <c r="H54" s="5"/>
      <c r="I54" s="5"/>
      <c r="J54" s="5"/>
      <c r="K54" s="6"/>
      <c r="L54" s="6"/>
      <c r="M54" s="6"/>
      <c r="N54" s="6"/>
      <c r="O54" s="5"/>
      <c r="P54" s="5"/>
      <c r="Q54" s="5"/>
      <c r="R54" s="5"/>
      <c r="S54" s="5"/>
      <c r="T54" s="5"/>
      <c r="U54" s="7"/>
      <c r="V54" s="5"/>
      <c r="W54" s="5"/>
      <c r="X54" s="5"/>
      <c r="Y54" s="5"/>
    </row>
    <row r="55" spans="1:25" ht="13.2" x14ac:dyDescent="0.25">
      <c r="A55" s="12"/>
      <c r="B55" s="5"/>
      <c r="C55" s="5"/>
      <c r="D55" s="5"/>
      <c r="E55" s="5"/>
      <c r="F55" s="5"/>
      <c r="G55" s="5"/>
      <c r="H55" s="5"/>
      <c r="I55" s="5"/>
      <c r="J55" s="5"/>
      <c r="K55" s="6"/>
      <c r="L55" s="6"/>
      <c r="M55" s="6"/>
      <c r="N55" s="6"/>
      <c r="O55" s="5"/>
      <c r="P55" s="5"/>
      <c r="Q55" s="5"/>
      <c r="R55" s="5"/>
      <c r="S55" s="5"/>
      <c r="T55" s="5"/>
      <c r="U55" s="7"/>
      <c r="V55" s="5"/>
      <c r="W55" s="5"/>
      <c r="X55" s="5"/>
      <c r="Y55" s="5"/>
    </row>
    <row r="56" spans="1:25" ht="13.2" x14ac:dyDescent="0.25">
      <c r="A56" s="12"/>
      <c r="B56" s="5"/>
      <c r="C56" s="5"/>
      <c r="D56" s="5"/>
      <c r="E56" s="5"/>
      <c r="F56" s="5"/>
      <c r="G56" s="5"/>
      <c r="H56" s="5"/>
      <c r="I56" s="5"/>
      <c r="J56" s="5"/>
      <c r="K56" s="6"/>
      <c r="L56" s="6"/>
      <c r="M56" s="6"/>
      <c r="N56" s="6"/>
      <c r="O56" s="5"/>
      <c r="P56" s="5"/>
      <c r="Q56" s="5"/>
      <c r="R56" s="5"/>
      <c r="S56" s="5"/>
      <c r="T56" s="5"/>
      <c r="U56" s="7"/>
      <c r="V56" s="5"/>
      <c r="W56" s="5"/>
      <c r="X56" s="5"/>
      <c r="Y56" s="5"/>
    </row>
    <row r="57" spans="1:25" ht="13.2" x14ac:dyDescent="0.25">
      <c r="A57" s="12"/>
      <c r="B57" s="5"/>
      <c r="C57" s="5"/>
      <c r="D57" s="5"/>
      <c r="E57" s="5"/>
      <c r="F57" s="5"/>
      <c r="G57" s="5"/>
      <c r="H57" s="5"/>
      <c r="I57" s="5"/>
      <c r="J57" s="5"/>
      <c r="K57" s="6"/>
      <c r="L57" s="6"/>
      <c r="M57" s="6"/>
      <c r="N57" s="6"/>
      <c r="O57" s="5"/>
      <c r="P57" s="5"/>
      <c r="Q57" s="5"/>
      <c r="R57" s="5"/>
      <c r="S57" s="5"/>
      <c r="T57" s="5"/>
      <c r="U57" s="7"/>
      <c r="V57" s="5"/>
      <c r="W57" s="5"/>
      <c r="X57" s="5"/>
      <c r="Y57" s="5"/>
    </row>
    <row r="58" spans="1:25" ht="13.2" x14ac:dyDescent="0.25">
      <c r="A58" s="12"/>
      <c r="B58" s="5"/>
      <c r="C58" s="5"/>
      <c r="D58" s="5"/>
      <c r="E58" s="5"/>
      <c r="F58" s="5"/>
      <c r="G58" s="5"/>
      <c r="H58" s="5"/>
      <c r="I58" s="5"/>
      <c r="J58" s="5"/>
      <c r="K58" s="6"/>
      <c r="L58" s="6"/>
      <c r="M58" s="6"/>
      <c r="N58" s="6"/>
      <c r="O58" s="5"/>
      <c r="P58" s="5"/>
      <c r="Q58" s="5"/>
      <c r="R58" s="5"/>
      <c r="S58" s="5"/>
      <c r="T58" s="5"/>
      <c r="U58" s="7"/>
      <c r="V58" s="5"/>
      <c r="W58" s="5"/>
      <c r="X58" s="5"/>
      <c r="Y58" s="5"/>
    </row>
    <row r="59" spans="1:25" ht="13.2" x14ac:dyDescent="0.25">
      <c r="A59" s="12"/>
      <c r="B59" s="5"/>
      <c r="C59" s="5"/>
      <c r="D59" s="5"/>
      <c r="E59" s="5"/>
      <c r="F59" s="5"/>
      <c r="G59" s="5"/>
      <c r="H59" s="5"/>
      <c r="I59" s="5"/>
      <c r="J59" s="5"/>
      <c r="K59" s="6"/>
      <c r="L59" s="6"/>
      <c r="M59" s="6"/>
      <c r="N59" s="6"/>
      <c r="O59" s="5"/>
      <c r="P59" s="5"/>
      <c r="Q59" s="5"/>
      <c r="R59" s="5"/>
      <c r="S59" s="5"/>
      <c r="T59" s="5"/>
      <c r="U59" s="7"/>
      <c r="V59" s="5"/>
      <c r="W59" s="5"/>
      <c r="X59" s="5"/>
      <c r="Y59" s="5"/>
    </row>
    <row r="60" spans="1:25" ht="13.2" x14ac:dyDescent="0.25">
      <c r="A60" s="12"/>
      <c r="B60" s="5"/>
      <c r="C60" s="5"/>
      <c r="D60" s="5"/>
      <c r="E60" s="5"/>
      <c r="F60" s="5"/>
      <c r="G60" s="5"/>
      <c r="H60" s="5"/>
      <c r="I60" s="5"/>
      <c r="J60" s="5"/>
      <c r="K60" s="6"/>
      <c r="L60" s="6"/>
      <c r="M60" s="6"/>
      <c r="N60" s="6"/>
      <c r="O60" s="5"/>
      <c r="P60" s="5"/>
      <c r="Q60" s="5"/>
      <c r="R60" s="5"/>
      <c r="S60" s="5"/>
      <c r="T60" s="5"/>
      <c r="U60" s="7"/>
      <c r="V60" s="5"/>
      <c r="W60" s="5"/>
      <c r="X60" s="5"/>
      <c r="Y60" s="5"/>
    </row>
    <row r="61" spans="1:25" ht="13.2" x14ac:dyDescent="0.25">
      <c r="A61" s="12"/>
      <c r="B61" s="5"/>
      <c r="C61" s="5"/>
      <c r="D61" s="5"/>
      <c r="E61" s="5"/>
      <c r="F61" s="5"/>
      <c r="G61" s="5"/>
      <c r="H61" s="5"/>
      <c r="I61" s="5"/>
      <c r="J61" s="5"/>
      <c r="K61" s="6"/>
      <c r="L61" s="6"/>
      <c r="M61" s="6"/>
      <c r="N61" s="6"/>
      <c r="O61" s="5"/>
      <c r="P61" s="5"/>
      <c r="Q61" s="5"/>
      <c r="R61" s="5"/>
      <c r="S61" s="5"/>
      <c r="T61" s="5"/>
      <c r="U61" s="7"/>
      <c r="V61" s="5"/>
      <c r="W61" s="5"/>
      <c r="X61" s="5"/>
      <c r="Y61" s="5"/>
    </row>
    <row r="62" spans="1:25" ht="13.2" x14ac:dyDescent="0.25">
      <c r="A62" s="12"/>
      <c r="B62" s="5"/>
      <c r="C62" s="5"/>
      <c r="D62" s="5"/>
      <c r="E62" s="5"/>
      <c r="F62" s="5"/>
      <c r="G62" s="5"/>
      <c r="H62" s="5"/>
      <c r="I62" s="5"/>
      <c r="J62" s="5"/>
      <c r="K62" s="6"/>
      <c r="L62" s="6"/>
      <c r="M62" s="6"/>
      <c r="N62" s="6"/>
      <c r="O62" s="5"/>
      <c r="P62" s="5"/>
      <c r="Q62" s="5"/>
      <c r="R62" s="5"/>
      <c r="S62" s="5"/>
      <c r="T62" s="5"/>
      <c r="U62" s="7"/>
      <c r="V62" s="5"/>
      <c r="W62" s="5"/>
      <c r="X62" s="5"/>
      <c r="Y62" s="5"/>
    </row>
    <row r="63" spans="1:25" ht="13.2" x14ac:dyDescent="0.25">
      <c r="A63" s="12"/>
      <c r="B63" s="5"/>
      <c r="C63" s="5"/>
      <c r="D63" s="5"/>
      <c r="E63" s="5"/>
      <c r="F63" s="5"/>
      <c r="G63" s="5"/>
      <c r="H63" s="5"/>
      <c r="I63" s="5"/>
      <c r="J63" s="5"/>
      <c r="K63" s="6"/>
      <c r="L63" s="6"/>
      <c r="M63" s="6"/>
      <c r="N63" s="6"/>
      <c r="O63" s="5"/>
      <c r="P63" s="5"/>
      <c r="Q63" s="5"/>
      <c r="R63" s="5"/>
      <c r="S63" s="5"/>
      <c r="T63" s="5"/>
      <c r="U63" s="7"/>
      <c r="V63" s="5"/>
      <c r="W63" s="5"/>
      <c r="X63" s="5"/>
      <c r="Y63" s="5"/>
    </row>
    <row r="64" spans="1:25" ht="13.2" x14ac:dyDescent="0.25">
      <c r="A64" s="12"/>
      <c r="B64" s="5"/>
      <c r="C64" s="5"/>
      <c r="D64" s="5"/>
      <c r="E64" s="5"/>
      <c r="F64" s="5"/>
      <c r="G64" s="5"/>
      <c r="H64" s="5"/>
      <c r="I64" s="5"/>
      <c r="J64" s="5"/>
      <c r="K64" s="6"/>
      <c r="L64" s="6"/>
      <c r="M64" s="6"/>
      <c r="N64" s="6"/>
      <c r="O64" s="5"/>
      <c r="P64" s="5"/>
      <c r="Q64" s="5"/>
      <c r="R64" s="5"/>
      <c r="S64" s="5"/>
      <c r="T64" s="5"/>
      <c r="U64" s="7"/>
      <c r="V64" s="5"/>
      <c r="W64" s="5"/>
      <c r="X64" s="5"/>
      <c r="Y64" s="5"/>
    </row>
    <row r="65" spans="1:25" ht="13.2" x14ac:dyDescent="0.25">
      <c r="A65" s="12"/>
      <c r="B65" s="5"/>
      <c r="C65" s="5"/>
      <c r="D65" s="5"/>
      <c r="E65" s="5"/>
      <c r="F65" s="5"/>
      <c r="G65" s="5"/>
      <c r="H65" s="5"/>
      <c r="I65" s="5"/>
      <c r="J65" s="5"/>
      <c r="K65" s="6"/>
      <c r="L65" s="6"/>
      <c r="M65" s="6"/>
      <c r="N65" s="6"/>
      <c r="O65" s="5"/>
      <c r="P65" s="5"/>
      <c r="Q65" s="5"/>
      <c r="R65" s="5"/>
      <c r="S65" s="5"/>
      <c r="T65" s="5"/>
      <c r="U65" s="7"/>
      <c r="V65" s="5"/>
      <c r="W65" s="5"/>
      <c r="X65" s="5"/>
      <c r="Y65" s="5"/>
    </row>
    <row r="66" spans="1:25" ht="13.2" x14ac:dyDescent="0.25">
      <c r="A66" s="12"/>
      <c r="B66" s="5"/>
      <c r="C66" s="5"/>
      <c r="D66" s="5"/>
      <c r="E66" s="5"/>
      <c r="F66" s="5"/>
      <c r="G66" s="5"/>
      <c r="H66" s="5"/>
      <c r="I66" s="5"/>
      <c r="J66" s="5"/>
      <c r="K66" s="6"/>
      <c r="L66" s="6"/>
      <c r="M66" s="6"/>
      <c r="N66" s="6"/>
      <c r="O66" s="5"/>
      <c r="P66" s="5"/>
      <c r="Q66" s="5"/>
      <c r="R66" s="5"/>
      <c r="S66" s="5"/>
      <c r="T66" s="5"/>
      <c r="U66" s="7"/>
      <c r="V66" s="5"/>
      <c r="W66" s="5"/>
      <c r="X66" s="5"/>
      <c r="Y66" s="5"/>
    </row>
    <row r="67" spans="1:25" ht="13.2" x14ac:dyDescent="0.25">
      <c r="A67" s="12"/>
      <c r="B67" s="5"/>
      <c r="C67" s="5"/>
      <c r="D67" s="5"/>
      <c r="E67" s="5"/>
      <c r="F67" s="5"/>
      <c r="G67" s="5"/>
      <c r="H67" s="5"/>
      <c r="I67" s="5"/>
      <c r="J67" s="5"/>
      <c r="K67" s="6"/>
      <c r="L67" s="6"/>
      <c r="M67" s="6"/>
      <c r="N67" s="6"/>
      <c r="O67" s="5"/>
      <c r="P67" s="5"/>
      <c r="Q67" s="5"/>
      <c r="R67" s="5"/>
      <c r="S67" s="5"/>
      <c r="T67" s="5"/>
      <c r="U67" s="7"/>
      <c r="V67" s="5"/>
      <c r="W67" s="5"/>
      <c r="X67" s="5"/>
      <c r="Y67" s="5"/>
    </row>
    <row r="68" spans="1:25" ht="13.2" x14ac:dyDescent="0.25">
      <c r="A68" s="12"/>
      <c r="B68" s="5"/>
      <c r="C68" s="5"/>
      <c r="D68" s="5"/>
      <c r="E68" s="5"/>
      <c r="F68" s="5"/>
      <c r="G68" s="5"/>
      <c r="H68" s="5"/>
      <c r="I68" s="5"/>
      <c r="J68" s="5"/>
      <c r="K68" s="6"/>
      <c r="L68" s="6"/>
      <c r="M68" s="6"/>
      <c r="N68" s="6"/>
      <c r="O68" s="5"/>
      <c r="P68" s="5"/>
      <c r="Q68" s="5"/>
      <c r="R68" s="5"/>
      <c r="S68" s="5"/>
      <c r="T68" s="5"/>
      <c r="U68" s="7"/>
      <c r="V68" s="5"/>
      <c r="W68" s="5"/>
      <c r="X68" s="5"/>
      <c r="Y68" s="5"/>
    </row>
    <row r="69" spans="1:25" ht="13.2" x14ac:dyDescent="0.25">
      <c r="A69" s="12"/>
      <c r="B69" s="5"/>
      <c r="C69" s="5"/>
      <c r="D69" s="5"/>
      <c r="E69" s="5"/>
      <c r="F69" s="5"/>
      <c r="G69" s="5"/>
      <c r="H69" s="5"/>
      <c r="I69" s="5"/>
      <c r="J69" s="5"/>
      <c r="K69" s="6"/>
      <c r="L69" s="6"/>
      <c r="M69" s="6"/>
      <c r="N69" s="6"/>
      <c r="O69" s="5"/>
      <c r="P69" s="5"/>
      <c r="Q69" s="5"/>
      <c r="R69" s="5"/>
      <c r="S69" s="5"/>
      <c r="T69" s="5"/>
      <c r="U69" s="7"/>
      <c r="V69" s="5"/>
      <c r="W69" s="5"/>
      <c r="X69" s="5"/>
      <c r="Y69" s="5"/>
    </row>
    <row r="70" spans="1:25" ht="13.2" x14ac:dyDescent="0.25">
      <c r="A70" s="12"/>
      <c r="B70" s="5"/>
      <c r="C70" s="5"/>
      <c r="D70" s="5"/>
      <c r="E70" s="5"/>
      <c r="F70" s="5"/>
      <c r="G70" s="5"/>
      <c r="H70" s="5"/>
      <c r="I70" s="5"/>
      <c r="J70" s="5"/>
      <c r="K70" s="6"/>
      <c r="L70" s="6"/>
      <c r="M70" s="6"/>
      <c r="N70" s="6"/>
      <c r="O70" s="5"/>
      <c r="P70" s="5"/>
      <c r="Q70" s="5"/>
      <c r="R70" s="5"/>
      <c r="S70" s="5"/>
      <c r="T70" s="5"/>
      <c r="U70" s="7"/>
      <c r="V70" s="5"/>
      <c r="W70" s="5"/>
      <c r="X70" s="5"/>
      <c r="Y70" s="5"/>
    </row>
    <row r="71" spans="1:25" ht="13.2" x14ac:dyDescent="0.25">
      <c r="A71" s="12"/>
      <c r="B71" s="5"/>
      <c r="C71" s="5"/>
      <c r="D71" s="5"/>
      <c r="E71" s="5"/>
      <c r="F71" s="5"/>
      <c r="G71" s="5"/>
      <c r="H71" s="5"/>
      <c r="I71" s="5"/>
      <c r="J71" s="5"/>
      <c r="K71" s="6"/>
      <c r="L71" s="6"/>
      <c r="M71" s="6"/>
      <c r="N71" s="6"/>
      <c r="O71" s="5"/>
      <c r="P71" s="5"/>
      <c r="Q71" s="5"/>
      <c r="R71" s="5"/>
      <c r="S71" s="5"/>
      <c r="T71" s="5"/>
      <c r="U71" s="7"/>
      <c r="V71" s="5"/>
      <c r="W71" s="5"/>
      <c r="X71" s="5"/>
      <c r="Y71" s="5"/>
    </row>
    <row r="72" spans="1:25" ht="13.2" x14ac:dyDescent="0.25">
      <c r="A72" s="12"/>
      <c r="B72" s="5"/>
      <c r="C72" s="5"/>
      <c r="D72" s="5"/>
      <c r="E72" s="5"/>
      <c r="F72" s="5"/>
      <c r="G72" s="5"/>
      <c r="H72" s="5"/>
      <c r="I72" s="5"/>
      <c r="J72" s="5"/>
      <c r="K72" s="6"/>
      <c r="L72" s="6"/>
      <c r="M72" s="6"/>
      <c r="N72" s="6"/>
      <c r="O72" s="5"/>
      <c r="P72" s="5"/>
      <c r="Q72" s="5"/>
      <c r="R72" s="5"/>
      <c r="S72" s="5"/>
      <c r="T72" s="5"/>
      <c r="U72" s="7"/>
      <c r="V72" s="5"/>
      <c r="W72" s="5"/>
      <c r="X72" s="5"/>
      <c r="Y72" s="5"/>
    </row>
    <row r="73" spans="1:25" ht="13.2" x14ac:dyDescent="0.25">
      <c r="A73" s="12"/>
      <c r="B73" s="5"/>
      <c r="C73" s="5"/>
      <c r="D73" s="5"/>
      <c r="E73" s="5"/>
      <c r="F73" s="5"/>
      <c r="G73" s="5"/>
      <c r="H73" s="5"/>
      <c r="I73" s="5"/>
      <c r="J73" s="5"/>
      <c r="K73" s="6"/>
      <c r="L73" s="6"/>
      <c r="M73" s="6"/>
      <c r="N73" s="6"/>
      <c r="O73" s="5"/>
      <c r="P73" s="5"/>
      <c r="Q73" s="5"/>
      <c r="R73" s="5"/>
      <c r="S73" s="5"/>
      <c r="T73" s="5"/>
      <c r="U73" s="7"/>
      <c r="V73" s="5"/>
      <c r="W73" s="5"/>
      <c r="X73" s="5"/>
      <c r="Y73" s="5"/>
    </row>
    <row r="74" spans="1:25" ht="13.2" x14ac:dyDescent="0.25">
      <c r="A74" s="12"/>
      <c r="B74" s="5"/>
      <c r="C74" s="5"/>
      <c r="D74" s="5"/>
      <c r="E74" s="5"/>
      <c r="F74" s="5"/>
      <c r="G74" s="5"/>
      <c r="H74" s="5"/>
      <c r="I74" s="5"/>
      <c r="J74" s="5"/>
      <c r="K74" s="6"/>
      <c r="L74" s="6"/>
      <c r="M74" s="6"/>
      <c r="N74" s="6"/>
      <c r="O74" s="5"/>
      <c r="P74" s="5"/>
      <c r="Q74" s="5"/>
      <c r="R74" s="5"/>
      <c r="S74" s="5"/>
      <c r="T74" s="5"/>
      <c r="U74" s="7"/>
      <c r="V74" s="5"/>
      <c r="W74" s="5"/>
      <c r="X74" s="5"/>
      <c r="Y74" s="5"/>
    </row>
    <row r="75" spans="1:25" ht="13.2" x14ac:dyDescent="0.25">
      <c r="A75" s="12"/>
      <c r="B75" s="5"/>
      <c r="C75" s="5"/>
      <c r="D75" s="5"/>
      <c r="E75" s="5"/>
      <c r="F75" s="5"/>
      <c r="G75" s="5"/>
      <c r="H75" s="5"/>
      <c r="I75" s="5"/>
      <c r="J75" s="5"/>
      <c r="K75" s="6"/>
      <c r="L75" s="6"/>
      <c r="M75" s="6"/>
      <c r="N75" s="6"/>
      <c r="O75" s="5"/>
      <c r="P75" s="5"/>
      <c r="Q75" s="5"/>
      <c r="R75" s="5"/>
      <c r="S75" s="5"/>
      <c r="T75" s="5"/>
      <c r="U75" s="7"/>
      <c r="V75" s="5"/>
      <c r="W75" s="5"/>
      <c r="X75" s="5"/>
      <c r="Y75" s="5"/>
    </row>
    <row r="76" spans="1:25" ht="13.2" x14ac:dyDescent="0.25">
      <c r="A76" s="12"/>
      <c r="B76" s="5"/>
      <c r="C76" s="5"/>
      <c r="D76" s="5"/>
      <c r="E76" s="5"/>
      <c r="F76" s="5"/>
      <c r="G76" s="5"/>
      <c r="H76" s="5"/>
      <c r="I76" s="5"/>
      <c r="J76" s="5"/>
      <c r="K76" s="6"/>
      <c r="L76" s="6"/>
      <c r="M76" s="6"/>
      <c r="N76" s="6"/>
      <c r="O76" s="5"/>
      <c r="P76" s="5"/>
      <c r="Q76" s="5"/>
      <c r="R76" s="5"/>
      <c r="S76" s="5"/>
      <c r="T76" s="5"/>
      <c r="U76" s="7"/>
      <c r="V76" s="5"/>
      <c r="W76" s="5"/>
      <c r="X76" s="5"/>
      <c r="Y76" s="5"/>
    </row>
    <row r="77" spans="1:25" ht="13.2" x14ac:dyDescent="0.25">
      <c r="A77" s="12"/>
      <c r="B77" s="5"/>
      <c r="C77" s="5"/>
      <c r="D77" s="5"/>
      <c r="E77" s="5"/>
      <c r="F77" s="5"/>
      <c r="G77" s="5"/>
      <c r="H77" s="5"/>
      <c r="I77" s="5"/>
      <c r="J77" s="5"/>
      <c r="K77" s="6"/>
      <c r="L77" s="6"/>
      <c r="M77" s="6"/>
      <c r="N77" s="6"/>
      <c r="O77" s="5"/>
      <c r="P77" s="5"/>
      <c r="Q77" s="5"/>
      <c r="R77" s="5"/>
      <c r="S77" s="5"/>
      <c r="T77" s="5"/>
      <c r="U77" s="7"/>
      <c r="V77" s="5"/>
      <c r="W77" s="5"/>
      <c r="X77" s="5"/>
      <c r="Y77" s="5"/>
    </row>
    <row r="78" spans="1:25" ht="13.2" x14ac:dyDescent="0.25">
      <c r="A78" s="12"/>
      <c r="B78" s="5"/>
      <c r="C78" s="5"/>
      <c r="D78" s="5"/>
      <c r="E78" s="5"/>
      <c r="F78" s="5"/>
      <c r="G78" s="5"/>
      <c r="H78" s="5"/>
      <c r="I78" s="5"/>
      <c r="J78" s="5"/>
      <c r="K78" s="6"/>
      <c r="L78" s="6"/>
      <c r="M78" s="6"/>
      <c r="N78" s="6"/>
      <c r="O78" s="5"/>
      <c r="P78" s="5"/>
      <c r="Q78" s="5"/>
      <c r="R78" s="5"/>
      <c r="S78" s="5"/>
      <c r="T78" s="5"/>
      <c r="U78" s="7"/>
      <c r="V78" s="5"/>
      <c r="W78" s="5"/>
      <c r="X78" s="5"/>
      <c r="Y78" s="5"/>
    </row>
    <row r="79" spans="1:25" ht="13.2" x14ac:dyDescent="0.25">
      <c r="A79" s="12"/>
      <c r="B79" s="5"/>
      <c r="C79" s="5"/>
      <c r="D79" s="5"/>
      <c r="E79" s="5"/>
      <c r="F79" s="5"/>
      <c r="G79" s="5"/>
      <c r="H79" s="5"/>
      <c r="I79" s="5"/>
      <c r="J79" s="5"/>
      <c r="K79" s="6"/>
      <c r="L79" s="6"/>
      <c r="M79" s="6"/>
      <c r="N79" s="6"/>
      <c r="O79" s="5"/>
      <c r="P79" s="5"/>
      <c r="Q79" s="5"/>
      <c r="R79" s="5"/>
      <c r="S79" s="5"/>
      <c r="T79" s="5"/>
      <c r="U79" s="7"/>
      <c r="V79" s="5"/>
      <c r="W79" s="5"/>
      <c r="X79" s="5"/>
      <c r="Y79" s="5"/>
    </row>
    <row r="80" spans="1:25" ht="13.2" x14ac:dyDescent="0.25">
      <c r="A80" s="12"/>
      <c r="B80" s="5"/>
      <c r="C80" s="5"/>
      <c r="D80" s="5"/>
      <c r="E80" s="5"/>
      <c r="F80" s="5"/>
      <c r="G80" s="5"/>
      <c r="H80" s="5"/>
      <c r="I80" s="5"/>
      <c r="J80" s="5"/>
      <c r="K80" s="6"/>
      <c r="L80" s="6"/>
      <c r="M80" s="6"/>
      <c r="N80" s="6"/>
      <c r="O80" s="5"/>
      <c r="P80" s="5"/>
      <c r="Q80" s="5"/>
      <c r="R80" s="5"/>
      <c r="S80" s="5"/>
      <c r="T80" s="5"/>
      <c r="U80" s="7"/>
      <c r="V80" s="5"/>
      <c r="W80" s="5"/>
      <c r="X80" s="5"/>
      <c r="Y80" s="5"/>
    </row>
    <row r="81" spans="1:25" ht="13.2" x14ac:dyDescent="0.25">
      <c r="A81" s="12"/>
      <c r="B81" s="5"/>
      <c r="C81" s="5"/>
      <c r="D81" s="5"/>
      <c r="E81" s="5"/>
      <c r="F81" s="5"/>
      <c r="G81" s="5"/>
      <c r="H81" s="5"/>
      <c r="I81" s="5"/>
      <c r="J81" s="5"/>
      <c r="K81" s="6"/>
      <c r="L81" s="6"/>
      <c r="M81" s="6"/>
      <c r="N81" s="6"/>
      <c r="O81" s="5"/>
      <c r="P81" s="5"/>
      <c r="Q81" s="5"/>
      <c r="R81" s="5"/>
      <c r="S81" s="5"/>
      <c r="T81" s="5"/>
      <c r="U81" s="7"/>
      <c r="V81" s="5"/>
      <c r="W81" s="5"/>
      <c r="X81" s="5"/>
      <c r="Y81" s="5"/>
    </row>
    <row r="82" spans="1:25" ht="13.2" x14ac:dyDescent="0.25">
      <c r="A82" s="12"/>
      <c r="B82" s="5"/>
      <c r="C82" s="5"/>
      <c r="D82" s="5"/>
      <c r="E82" s="5"/>
      <c r="F82" s="5"/>
      <c r="G82" s="5"/>
      <c r="H82" s="5"/>
      <c r="I82" s="5"/>
      <c r="J82" s="5"/>
      <c r="K82" s="6"/>
      <c r="L82" s="6"/>
      <c r="M82" s="6"/>
      <c r="N82" s="6"/>
      <c r="O82" s="5"/>
      <c r="P82" s="5"/>
      <c r="Q82" s="5"/>
      <c r="R82" s="5"/>
      <c r="S82" s="5"/>
      <c r="T82" s="5"/>
      <c r="U82" s="7"/>
      <c r="V82" s="5"/>
      <c r="W82" s="5"/>
      <c r="X82" s="5"/>
      <c r="Y82" s="5"/>
    </row>
    <row r="83" spans="1:25" ht="13.2" x14ac:dyDescent="0.25">
      <c r="A83" s="12"/>
      <c r="B83" s="5"/>
      <c r="C83" s="5"/>
      <c r="D83" s="5"/>
      <c r="E83" s="5"/>
      <c r="F83" s="5"/>
      <c r="G83" s="5"/>
      <c r="H83" s="5"/>
      <c r="I83" s="5"/>
      <c r="J83" s="5"/>
      <c r="K83" s="6"/>
      <c r="L83" s="6"/>
      <c r="M83" s="6"/>
      <c r="N83" s="6"/>
      <c r="O83" s="5"/>
      <c r="P83" s="5"/>
      <c r="Q83" s="5"/>
      <c r="R83" s="5"/>
      <c r="S83" s="5"/>
      <c r="T83" s="5"/>
      <c r="U83" s="7"/>
      <c r="V83" s="5"/>
      <c r="W83" s="5"/>
      <c r="X83" s="5"/>
      <c r="Y83" s="5"/>
    </row>
    <row r="84" spans="1:25" ht="13.2" x14ac:dyDescent="0.25">
      <c r="A84" s="12"/>
      <c r="B84" s="5"/>
      <c r="C84" s="5"/>
      <c r="D84" s="5"/>
      <c r="E84" s="5"/>
      <c r="F84" s="5"/>
      <c r="G84" s="5"/>
      <c r="H84" s="5"/>
      <c r="I84" s="5"/>
      <c r="J84" s="5"/>
      <c r="K84" s="6"/>
      <c r="L84" s="6"/>
      <c r="M84" s="6"/>
      <c r="N84" s="6"/>
      <c r="O84" s="5"/>
      <c r="P84" s="5"/>
      <c r="Q84" s="5"/>
      <c r="R84" s="5"/>
      <c r="S84" s="5"/>
      <c r="T84" s="5"/>
      <c r="U84" s="7"/>
      <c r="V84" s="5"/>
      <c r="W84" s="5"/>
      <c r="X84" s="5"/>
      <c r="Y84" s="5"/>
    </row>
    <row r="85" spans="1:25" ht="13.2" x14ac:dyDescent="0.25">
      <c r="A85" s="12"/>
      <c r="B85" s="5"/>
      <c r="C85" s="5"/>
      <c r="D85" s="5"/>
      <c r="E85" s="5"/>
      <c r="F85" s="5"/>
      <c r="G85" s="5"/>
      <c r="H85" s="5"/>
      <c r="I85" s="5"/>
      <c r="J85" s="5"/>
      <c r="K85" s="6"/>
      <c r="L85" s="6"/>
      <c r="M85" s="6"/>
      <c r="N85" s="6"/>
      <c r="O85" s="5"/>
      <c r="P85" s="5"/>
      <c r="Q85" s="5"/>
      <c r="R85" s="5"/>
      <c r="S85" s="5"/>
      <c r="T85" s="5"/>
      <c r="U85" s="7"/>
      <c r="V85" s="5"/>
      <c r="W85" s="5"/>
      <c r="X85" s="5"/>
      <c r="Y85" s="5"/>
    </row>
    <row r="86" spans="1:25" ht="13.2" x14ac:dyDescent="0.25">
      <c r="A86" s="12"/>
      <c r="B86" s="5"/>
      <c r="C86" s="5"/>
      <c r="D86" s="5"/>
      <c r="E86" s="5"/>
      <c r="F86" s="5"/>
      <c r="G86" s="5"/>
      <c r="H86" s="5"/>
      <c r="I86" s="5"/>
      <c r="J86" s="5"/>
      <c r="K86" s="6"/>
      <c r="L86" s="6"/>
      <c r="M86" s="6"/>
      <c r="N86" s="6"/>
      <c r="O86" s="5"/>
      <c r="P86" s="5"/>
      <c r="Q86" s="5"/>
      <c r="R86" s="5"/>
      <c r="S86" s="5"/>
      <c r="T86" s="5"/>
      <c r="U86" s="7"/>
      <c r="V86" s="5"/>
      <c r="W86" s="5"/>
      <c r="X86" s="5"/>
      <c r="Y86" s="5"/>
    </row>
    <row r="87" spans="1:25" ht="13.2" x14ac:dyDescent="0.25">
      <c r="A87" s="12"/>
      <c r="B87" s="5"/>
      <c r="C87" s="5"/>
      <c r="D87" s="5"/>
      <c r="E87" s="5"/>
      <c r="F87" s="5"/>
      <c r="G87" s="5"/>
      <c r="H87" s="5"/>
      <c r="I87" s="5"/>
      <c r="J87" s="5"/>
      <c r="K87" s="6"/>
      <c r="L87" s="6"/>
      <c r="M87" s="6"/>
      <c r="N87" s="6"/>
      <c r="O87" s="5"/>
      <c r="P87" s="5"/>
      <c r="Q87" s="5"/>
      <c r="R87" s="5"/>
      <c r="S87" s="5"/>
      <c r="T87" s="5"/>
      <c r="U87" s="7"/>
      <c r="V87" s="5"/>
      <c r="W87" s="5"/>
      <c r="X87" s="5"/>
      <c r="Y87" s="5"/>
    </row>
    <row r="88" spans="1:25" ht="13.2" x14ac:dyDescent="0.25">
      <c r="A88" s="12"/>
      <c r="B88" s="5"/>
      <c r="C88" s="5"/>
      <c r="D88" s="5"/>
      <c r="E88" s="5"/>
      <c r="F88" s="5"/>
      <c r="G88" s="5"/>
      <c r="H88" s="5"/>
      <c r="I88" s="5"/>
      <c r="J88" s="5"/>
      <c r="K88" s="6"/>
      <c r="L88" s="6"/>
      <c r="M88" s="6"/>
      <c r="N88" s="6"/>
      <c r="O88" s="5"/>
      <c r="P88" s="5"/>
      <c r="Q88" s="5"/>
      <c r="R88" s="5"/>
      <c r="S88" s="5"/>
      <c r="T88" s="5"/>
      <c r="U88" s="7"/>
      <c r="V88" s="5"/>
      <c r="W88" s="5"/>
      <c r="X88" s="5"/>
      <c r="Y88" s="5"/>
    </row>
    <row r="89" spans="1:25" ht="13.2" x14ac:dyDescent="0.25">
      <c r="A89" s="12"/>
      <c r="B89" s="5"/>
      <c r="C89" s="5"/>
      <c r="D89" s="5"/>
      <c r="E89" s="5"/>
      <c r="F89" s="5"/>
      <c r="G89" s="5"/>
      <c r="H89" s="5"/>
      <c r="I89" s="5"/>
      <c r="J89" s="5"/>
      <c r="K89" s="6"/>
      <c r="L89" s="6"/>
      <c r="M89" s="6"/>
      <c r="N89" s="6"/>
      <c r="O89" s="5"/>
      <c r="P89" s="5"/>
      <c r="Q89" s="5"/>
      <c r="R89" s="5"/>
      <c r="S89" s="5"/>
      <c r="T89" s="5"/>
      <c r="U89" s="7"/>
      <c r="V89" s="5"/>
      <c r="W89" s="5"/>
      <c r="X89" s="5"/>
      <c r="Y89" s="5"/>
    </row>
    <row r="90" spans="1:25" ht="13.2" x14ac:dyDescent="0.25">
      <c r="A90" s="12"/>
      <c r="B90" s="5"/>
      <c r="C90" s="5"/>
      <c r="D90" s="5"/>
      <c r="E90" s="5"/>
      <c r="F90" s="5"/>
      <c r="G90" s="5"/>
      <c r="H90" s="5"/>
      <c r="I90" s="5"/>
      <c r="J90" s="5"/>
      <c r="K90" s="6"/>
      <c r="L90" s="6"/>
      <c r="M90" s="6"/>
      <c r="N90" s="6"/>
      <c r="O90" s="5"/>
      <c r="P90" s="5"/>
      <c r="Q90" s="5"/>
      <c r="R90" s="5"/>
      <c r="S90" s="5"/>
      <c r="T90" s="5"/>
      <c r="U90" s="7"/>
      <c r="V90" s="5"/>
      <c r="W90" s="5"/>
      <c r="X90" s="5"/>
      <c r="Y90" s="5"/>
    </row>
    <row r="91" spans="1:25" ht="13.2" x14ac:dyDescent="0.25">
      <c r="A91" s="12"/>
      <c r="B91" s="5"/>
      <c r="C91" s="5"/>
      <c r="D91" s="5"/>
      <c r="E91" s="5"/>
      <c r="F91" s="5"/>
      <c r="G91" s="5"/>
      <c r="H91" s="5"/>
      <c r="I91" s="5"/>
      <c r="J91" s="5"/>
      <c r="K91" s="6"/>
      <c r="L91" s="6"/>
      <c r="M91" s="6"/>
      <c r="N91" s="6"/>
      <c r="O91" s="5"/>
      <c r="P91" s="5"/>
      <c r="Q91" s="5"/>
      <c r="R91" s="5"/>
      <c r="S91" s="5"/>
      <c r="T91" s="5"/>
      <c r="U91" s="7"/>
      <c r="V91" s="5"/>
      <c r="W91" s="5"/>
      <c r="X91" s="5"/>
      <c r="Y91" s="5"/>
    </row>
    <row r="92" spans="1:25" ht="13.2" x14ac:dyDescent="0.25">
      <c r="K92" s="6"/>
      <c r="L92" s="6"/>
      <c r="M92" s="6"/>
      <c r="N92" s="6"/>
    </row>
    <row r="93" spans="1:25" ht="13.2" x14ac:dyDescent="0.25">
      <c r="K93" s="6"/>
      <c r="L93" s="6"/>
      <c r="M93" s="6"/>
      <c r="N93" s="6"/>
    </row>
    <row r="94" spans="1:25" ht="13.2" x14ac:dyDescent="0.25">
      <c r="K94" s="6"/>
      <c r="L94" s="6"/>
      <c r="M94" s="6"/>
      <c r="N94" s="6"/>
    </row>
    <row r="95" spans="1:25" ht="13.2" x14ac:dyDescent="0.25">
      <c r="K95" s="6"/>
      <c r="L95" s="6"/>
      <c r="M95" s="6"/>
      <c r="N95" s="6"/>
    </row>
    <row r="96" spans="1:25" ht="13.2" x14ac:dyDescent="0.25">
      <c r="K96" s="6"/>
      <c r="L96" s="6"/>
      <c r="M96" s="6"/>
      <c r="N96" s="6"/>
    </row>
    <row r="97" spans="11:14" ht="13.2" x14ac:dyDescent="0.25">
      <c r="K97" s="6"/>
      <c r="L97" s="6"/>
      <c r="M97" s="6"/>
      <c r="N97" s="6"/>
    </row>
    <row r="98" spans="11:14" ht="13.2" x14ac:dyDescent="0.25">
      <c r="K98" s="6"/>
      <c r="L98" s="6"/>
      <c r="M98" s="6"/>
      <c r="N98" s="6"/>
    </row>
    <row r="99" spans="11:14" ht="13.2" x14ac:dyDescent="0.25">
      <c r="K99" s="6"/>
      <c r="L99" s="6"/>
      <c r="M99" s="6"/>
      <c r="N99" s="6"/>
    </row>
    <row r="100" spans="11:14" ht="13.2" x14ac:dyDescent="0.25">
      <c r="K100" s="6"/>
      <c r="L100" s="6"/>
      <c r="M100" s="6"/>
      <c r="N100" s="6"/>
    </row>
    <row r="101" spans="11:14" ht="13.2" x14ac:dyDescent="0.25">
      <c r="K101" s="6"/>
      <c r="L101" s="6"/>
      <c r="M101" s="6"/>
      <c r="N101" s="6"/>
    </row>
    <row r="102" spans="11:14" ht="13.2" x14ac:dyDescent="0.25">
      <c r="K102" s="6"/>
      <c r="L102" s="6"/>
      <c r="M102" s="6"/>
      <c r="N102" s="6"/>
    </row>
    <row r="103" spans="11:14" ht="13.2" x14ac:dyDescent="0.25">
      <c r="K103" s="6"/>
      <c r="L103" s="6"/>
      <c r="M103" s="6"/>
      <c r="N103" s="6"/>
    </row>
    <row r="104" spans="11:14" ht="13.2" x14ac:dyDescent="0.25">
      <c r="K104" s="6"/>
      <c r="L104" s="6"/>
      <c r="M104" s="6"/>
      <c r="N104" s="6"/>
    </row>
    <row r="105" spans="11:14" ht="13.2" x14ac:dyDescent="0.25">
      <c r="K105" s="6"/>
      <c r="L105" s="6"/>
      <c r="M105" s="6"/>
      <c r="N105" s="6"/>
    </row>
    <row r="106" spans="11:14" ht="13.2" x14ac:dyDescent="0.25">
      <c r="K106" s="6"/>
      <c r="L106" s="6"/>
      <c r="M106" s="6"/>
      <c r="N106" s="6"/>
    </row>
    <row r="107" spans="11:14" ht="13.2" x14ac:dyDescent="0.25">
      <c r="K107" s="6"/>
      <c r="L107" s="6"/>
      <c r="M107" s="6"/>
      <c r="N107" s="6"/>
    </row>
    <row r="108" spans="11:14" ht="13.2" x14ac:dyDescent="0.25">
      <c r="K108" s="6"/>
      <c r="L108" s="6"/>
      <c r="M108" s="6"/>
      <c r="N108" s="6"/>
    </row>
    <row r="109" spans="11:14" ht="13.2" x14ac:dyDescent="0.25">
      <c r="K109" s="6"/>
      <c r="L109" s="6"/>
      <c r="M109" s="6"/>
      <c r="N109" s="6"/>
    </row>
    <row r="110" spans="11:14" ht="13.2" x14ac:dyDescent="0.25">
      <c r="K110" s="6"/>
      <c r="L110" s="6"/>
      <c r="M110" s="6"/>
      <c r="N110" s="6"/>
    </row>
    <row r="111" spans="11:14" ht="13.2" x14ac:dyDescent="0.25">
      <c r="K111" s="6"/>
      <c r="L111" s="6"/>
      <c r="M111" s="6"/>
      <c r="N111" s="6"/>
    </row>
    <row r="112" spans="11:14" ht="13.2" x14ac:dyDescent="0.25">
      <c r="K112" s="6"/>
      <c r="L112" s="6"/>
      <c r="M112" s="6"/>
      <c r="N112" s="6"/>
    </row>
    <row r="113" spans="11:14" ht="13.2" x14ac:dyDescent="0.25">
      <c r="K113" s="6"/>
      <c r="L113" s="6"/>
      <c r="M113" s="6"/>
      <c r="N113" s="6"/>
    </row>
    <row r="114" spans="11:14" ht="13.2" x14ac:dyDescent="0.25">
      <c r="K114" s="6"/>
      <c r="L114" s="6"/>
      <c r="M114" s="6"/>
      <c r="N114" s="6"/>
    </row>
    <row r="115" spans="11:14" ht="13.2" x14ac:dyDescent="0.25">
      <c r="K115" s="6"/>
      <c r="L115" s="6"/>
      <c r="M115" s="6"/>
      <c r="N115" s="6"/>
    </row>
    <row r="116" spans="11:14" ht="13.2" x14ac:dyDescent="0.25">
      <c r="K116" s="6"/>
      <c r="L116" s="6"/>
      <c r="M116" s="6"/>
      <c r="N116" s="6"/>
    </row>
    <row r="117" spans="11:14" ht="13.2" x14ac:dyDescent="0.25">
      <c r="K117" s="6"/>
      <c r="L117" s="6"/>
      <c r="M117" s="6"/>
      <c r="N117" s="6"/>
    </row>
    <row r="118" spans="11:14" ht="13.2" x14ac:dyDescent="0.25">
      <c r="K118" s="6"/>
      <c r="L118" s="6"/>
      <c r="M118" s="6"/>
      <c r="N118" s="6"/>
    </row>
    <row r="119" spans="11:14" ht="13.2" x14ac:dyDescent="0.25">
      <c r="K119" s="6"/>
      <c r="L119" s="6"/>
      <c r="M119" s="6"/>
      <c r="N119" s="6"/>
    </row>
    <row r="120" spans="11:14" ht="13.2" x14ac:dyDescent="0.25">
      <c r="K120" s="6"/>
      <c r="L120" s="6"/>
      <c r="M120" s="6"/>
      <c r="N120" s="6"/>
    </row>
    <row r="121" spans="11:14" ht="13.2" x14ac:dyDescent="0.25">
      <c r="K121" s="6"/>
      <c r="L121" s="6"/>
      <c r="M121" s="6"/>
      <c r="N121" s="6"/>
    </row>
    <row r="122" spans="11:14" ht="13.2" x14ac:dyDescent="0.25">
      <c r="K122" s="6"/>
      <c r="L122" s="6"/>
      <c r="M122" s="6"/>
      <c r="N122" s="6"/>
    </row>
    <row r="123" spans="11:14" ht="13.2" x14ac:dyDescent="0.25">
      <c r="K123" s="6"/>
      <c r="L123" s="6"/>
      <c r="M123" s="6"/>
      <c r="N123" s="6"/>
    </row>
    <row r="124" spans="11:14" ht="13.2" x14ac:dyDescent="0.25">
      <c r="K124" s="6"/>
      <c r="L124" s="6"/>
      <c r="M124" s="6"/>
      <c r="N124" s="6"/>
    </row>
    <row r="125" spans="11:14" ht="13.2" x14ac:dyDescent="0.25">
      <c r="K125" s="6"/>
      <c r="L125" s="6"/>
      <c r="M125" s="6"/>
      <c r="N125" s="6"/>
    </row>
    <row r="126" spans="11:14" ht="13.2" x14ac:dyDescent="0.25">
      <c r="K126" s="6"/>
      <c r="L126" s="6"/>
      <c r="M126" s="6"/>
      <c r="N126" s="6"/>
    </row>
    <row r="127" spans="11:14" ht="13.2" x14ac:dyDescent="0.25">
      <c r="K127" s="6"/>
      <c r="L127" s="6"/>
      <c r="M127" s="6"/>
      <c r="N127" s="6"/>
    </row>
    <row r="128" spans="11:14" ht="13.2" x14ac:dyDescent="0.25">
      <c r="K128" s="6"/>
      <c r="L128" s="6"/>
      <c r="M128" s="6"/>
      <c r="N128" s="6"/>
    </row>
    <row r="129" spans="11:14" ht="13.2" x14ac:dyDescent="0.25">
      <c r="K129" s="6"/>
      <c r="L129" s="6"/>
      <c r="M129" s="6"/>
      <c r="N129" s="6"/>
    </row>
    <row r="130" spans="11:14" ht="13.2" x14ac:dyDescent="0.25">
      <c r="K130" s="6"/>
      <c r="L130" s="6"/>
      <c r="M130" s="6"/>
      <c r="N130" s="6"/>
    </row>
    <row r="131" spans="11:14" ht="13.2" x14ac:dyDescent="0.25">
      <c r="K131" s="6"/>
      <c r="L131" s="6"/>
      <c r="M131" s="6"/>
      <c r="N131" s="6"/>
    </row>
    <row r="132" spans="11:14" ht="13.2" x14ac:dyDescent="0.25">
      <c r="K132" s="6"/>
      <c r="L132" s="6"/>
      <c r="M132" s="6"/>
      <c r="N132" s="6"/>
    </row>
    <row r="133" spans="11:14" ht="13.2" x14ac:dyDescent="0.25">
      <c r="K133" s="6"/>
      <c r="L133" s="6"/>
      <c r="M133" s="6"/>
      <c r="N133" s="6"/>
    </row>
    <row r="134" spans="11:14" ht="13.2" x14ac:dyDescent="0.25">
      <c r="K134" s="6"/>
      <c r="L134" s="6"/>
      <c r="M134" s="6"/>
      <c r="N134" s="6"/>
    </row>
    <row r="135" spans="11:14" ht="13.2" x14ac:dyDescent="0.25">
      <c r="K135" s="6"/>
      <c r="L135" s="6"/>
      <c r="M135" s="6"/>
      <c r="N135" s="6"/>
    </row>
    <row r="136" spans="11:14" ht="13.2" x14ac:dyDescent="0.25">
      <c r="K136" s="6"/>
      <c r="L136" s="6"/>
      <c r="M136" s="6"/>
      <c r="N136" s="6"/>
    </row>
    <row r="137" spans="11:14" ht="13.2" x14ac:dyDescent="0.25">
      <c r="K137" s="6"/>
      <c r="L137" s="6"/>
      <c r="M137" s="6"/>
      <c r="N137" s="6"/>
    </row>
    <row r="138" spans="11:14" ht="13.2" x14ac:dyDescent="0.25">
      <c r="K138" s="6"/>
      <c r="L138" s="6"/>
      <c r="M138" s="6"/>
      <c r="N138" s="6"/>
    </row>
    <row r="139" spans="11:14" ht="13.2" x14ac:dyDescent="0.25">
      <c r="K139" s="6"/>
      <c r="L139" s="6"/>
      <c r="M139" s="6"/>
      <c r="N139" s="6"/>
    </row>
    <row r="140" spans="11:14" ht="13.2" x14ac:dyDescent="0.25">
      <c r="K140" s="6"/>
      <c r="L140" s="6"/>
      <c r="M140" s="6"/>
      <c r="N140" s="6"/>
    </row>
    <row r="141" spans="11:14" ht="13.2" x14ac:dyDescent="0.25">
      <c r="K141" s="6"/>
      <c r="L141" s="6"/>
      <c r="M141" s="6"/>
      <c r="N141" s="6"/>
    </row>
    <row r="142" spans="11:14" ht="13.2" x14ac:dyDescent="0.25">
      <c r="K142" s="6"/>
      <c r="L142" s="6"/>
      <c r="M142" s="6"/>
      <c r="N142" s="6"/>
    </row>
    <row r="143" spans="11:14" ht="13.2" x14ac:dyDescent="0.25">
      <c r="K143" s="6"/>
      <c r="L143" s="6"/>
      <c r="M143" s="6"/>
      <c r="N143" s="6"/>
    </row>
    <row r="144" spans="11:14" ht="13.2" x14ac:dyDescent="0.25">
      <c r="K144" s="6"/>
      <c r="L144" s="6"/>
      <c r="M144" s="6"/>
      <c r="N144" s="6"/>
    </row>
    <row r="145" spans="11:14" ht="13.2" x14ac:dyDescent="0.25">
      <c r="K145" s="6"/>
      <c r="L145" s="6"/>
      <c r="M145" s="6"/>
      <c r="N145" s="6"/>
    </row>
    <row r="146" spans="11:14" ht="13.2" x14ac:dyDescent="0.25">
      <c r="K146" s="6"/>
      <c r="L146" s="6"/>
      <c r="M146" s="6"/>
      <c r="N146" s="6"/>
    </row>
    <row r="147" spans="11:14" ht="13.2" x14ac:dyDescent="0.25">
      <c r="K147" s="6"/>
      <c r="L147" s="6"/>
      <c r="M147" s="6"/>
      <c r="N147" s="6"/>
    </row>
    <row r="148" spans="11:14" ht="13.2" x14ac:dyDescent="0.25">
      <c r="K148" s="6"/>
      <c r="L148" s="6"/>
      <c r="M148" s="6"/>
      <c r="N148" s="6"/>
    </row>
    <row r="149" spans="11:14" ht="13.2" x14ac:dyDescent="0.25">
      <c r="K149" s="6"/>
      <c r="L149" s="6"/>
      <c r="M149" s="6"/>
      <c r="N149" s="6"/>
    </row>
    <row r="150" spans="11:14" ht="13.2" x14ac:dyDescent="0.25">
      <c r="K150" s="6"/>
      <c r="L150" s="6"/>
      <c r="M150" s="6"/>
      <c r="N150" s="6"/>
    </row>
    <row r="151" spans="11:14" ht="13.2" x14ac:dyDescent="0.25">
      <c r="K151" s="6"/>
      <c r="L151" s="6"/>
      <c r="M151" s="6"/>
      <c r="N151" s="6"/>
    </row>
    <row r="152" spans="11:14" ht="13.2" x14ac:dyDescent="0.25">
      <c r="K152" s="6"/>
      <c r="L152" s="6"/>
      <c r="M152" s="6"/>
      <c r="N152" s="6"/>
    </row>
    <row r="153" spans="11:14" ht="13.2" x14ac:dyDescent="0.25">
      <c r="K153" s="6"/>
      <c r="L153" s="6"/>
      <c r="M153" s="6"/>
      <c r="N153" s="6"/>
    </row>
    <row r="154" spans="11:14" ht="13.2" x14ac:dyDescent="0.25">
      <c r="K154" s="6"/>
      <c r="L154" s="6"/>
      <c r="M154" s="6"/>
      <c r="N154" s="6"/>
    </row>
    <row r="155" spans="11:14" ht="13.2" x14ac:dyDescent="0.25">
      <c r="K155" s="6"/>
      <c r="L155" s="6"/>
      <c r="M155" s="6"/>
      <c r="N155" s="6"/>
    </row>
    <row r="156" spans="11:14" ht="13.2" x14ac:dyDescent="0.25">
      <c r="K156" s="6"/>
      <c r="L156" s="6"/>
      <c r="M156" s="6"/>
      <c r="N156" s="6"/>
    </row>
    <row r="157" spans="11:14" ht="13.2" x14ac:dyDescent="0.25">
      <c r="K157" s="6"/>
      <c r="L157" s="6"/>
      <c r="M157" s="6"/>
      <c r="N157" s="6"/>
    </row>
    <row r="158" spans="11:14" ht="13.2" x14ac:dyDescent="0.25">
      <c r="K158" s="6"/>
      <c r="L158" s="6"/>
      <c r="M158" s="6"/>
      <c r="N158" s="6"/>
    </row>
    <row r="159" spans="11:14" ht="13.2" x14ac:dyDescent="0.25">
      <c r="K159" s="6"/>
      <c r="L159" s="6"/>
      <c r="M159" s="6"/>
      <c r="N159" s="6"/>
    </row>
    <row r="160" spans="11:14" ht="13.2" x14ac:dyDescent="0.25">
      <c r="K160" s="6"/>
      <c r="L160" s="6"/>
      <c r="M160" s="6"/>
      <c r="N160" s="6"/>
    </row>
    <row r="161" spans="11:14" ht="13.2" x14ac:dyDescent="0.25">
      <c r="K161" s="6"/>
      <c r="L161" s="6"/>
      <c r="M161" s="6"/>
      <c r="N161" s="6"/>
    </row>
    <row r="162" spans="11:14" ht="13.2" x14ac:dyDescent="0.25">
      <c r="K162" s="6"/>
      <c r="L162" s="6"/>
      <c r="M162" s="6"/>
      <c r="N162" s="6"/>
    </row>
    <row r="163" spans="11:14" ht="13.2" x14ac:dyDescent="0.25">
      <c r="K163" s="6"/>
      <c r="L163" s="6"/>
      <c r="M163" s="6"/>
      <c r="N163" s="6"/>
    </row>
    <row r="164" spans="11:14" ht="13.2" x14ac:dyDescent="0.25">
      <c r="K164" s="6"/>
      <c r="L164" s="6"/>
      <c r="M164" s="6"/>
      <c r="N164" s="6"/>
    </row>
    <row r="165" spans="11:14" ht="13.2" x14ac:dyDescent="0.25">
      <c r="K165" s="6"/>
      <c r="L165" s="6"/>
      <c r="M165" s="6"/>
      <c r="N165" s="6"/>
    </row>
    <row r="166" spans="11:14" ht="13.2" x14ac:dyDescent="0.25">
      <c r="K166" s="6"/>
      <c r="L166" s="6"/>
      <c r="M166" s="6"/>
      <c r="N166" s="6"/>
    </row>
    <row r="167" spans="11:14" ht="13.2" x14ac:dyDescent="0.25">
      <c r="K167" s="6"/>
      <c r="L167" s="6"/>
      <c r="M167" s="6"/>
      <c r="N167" s="6"/>
    </row>
    <row r="168" spans="11:14" ht="13.2" x14ac:dyDescent="0.25">
      <c r="K168" s="6"/>
      <c r="L168" s="6"/>
      <c r="M168" s="6"/>
      <c r="N168" s="6"/>
    </row>
    <row r="169" spans="11:14" ht="13.2" x14ac:dyDescent="0.25">
      <c r="K169" s="6"/>
      <c r="L169" s="6"/>
      <c r="M169" s="6"/>
      <c r="N169" s="6"/>
    </row>
    <row r="170" spans="11:14" ht="13.2" x14ac:dyDescent="0.25">
      <c r="K170" s="6"/>
      <c r="L170" s="6"/>
      <c r="M170" s="6"/>
      <c r="N170" s="6"/>
    </row>
    <row r="171" spans="11:14" ht="13.2" x14ac:dyDescent="0.25">
      <c r="K171" s="6"/>
      <c r="L171" s="6"/>
      <c r="M171" s="6"/>
      <c r="N171" s="6"/>
    </row>
    <row r="172" spans="11:14" ht="13.2" x14ac:dyDescent="0.25">
      <c r="K172" s="6"/>
      <c r="L172" s="6"/>
      <c r="M172" s="6"/>
      <c r="N172" s="6"/>
    </row>
    <row r="173" spans="11:14" ht="13.2" x14ac:dyDescent="0.25">
      <c r="K173" s="6"/>
      <c r="L173" s="6"/>
      <c r="M173" s="6"/>
      <c r="N173" s="6"/>
    </row>
    <row r="174" spans="11:14" ht="13.2" x14ac:dyDescent="0.25">
      <c r="K174" s="6"/>
      <c r="L174" s="6"/>
      <c r="M174" s="6"/>
      <c r="N174" s="6"/>
    </row>
    <row r="175" spans="11:14" ht="13.2" x14ac:dyDescent="0.25">
      <c r="K175" s="6"/>
      <c r="L175" s="6"/>
      <c r="M175" s="6"/>
      <c r="N175" s="6"/>
    </row>
    <row r="176" spans="11:14" ht="13.2" x14ac:dyDescent="0.25">
      <c r="K176" s="6"/>
      <c r="L176" s="6"/>
      <c r="M176" s="6"/>
      <c r="N176" s="6"/>
    </row>
    <row r="177" spans="11:14" ht="13.2" x14ac:dyDescent="0.25">
      <c r="K177" s="6"/>
      <c r="L177" s="6"/>
      <c r="M177" s="6"/>
      <c r="N177" s="6"/>
    </row>
    <row r="178" spans="11:14" ht="13.2" x14ac:dyDescent="0.25">
      <c r="K178" s="6"/>
      <c r="L178" s="6"/>
      <c r="M178" s="6"/>
      <c r="N178" s="6"/>
    </row>
    <row r="179" spans="11:14" ht="13.2" x14ac:dyDescent="0.25">
      <c r="K179" s="6"/>
      <c r="L179" s="6"/>
      <c r="M179" s="6"/>
      <c r="N179" s="6"/>
    </row>
    <row r="180" spans="11:14" ht="13.2" x14ac:dyDescent="0.25">
      <c r="K180" s="6"/>
      <c r="L180" s="6"/>
      <c r="M180" s="6"/>
      <c r="N180" s="6"/>
    </row>
    <row r="181" spans="11:14" ht="13.2" x14ac:dyDescent="0.25">
      <c r="K181" s="6"/>
      <c r="L181" s="6"/>
      <c r="M181" s="6"/>
      <c r="N181" s="6"/>
    </row>
    <row r="182" spans="11:14" ht="13.2" x14ac:dyDescent="0.25">
      <c r="K182" s="6"/>
      <c r="L182" s="6"/>
      <c r="M182" s="6"/>
      <c r="N182" s="6"/>
    </row>
    <row r="183" spans="11:14" ht="13.2" x14ac:dyDescent="0.25">
      <c r="K183" s="6"/>
      <c r="L183" s="6"/>
      <c r="M183" s="6"/>
      <c r="N183" s="6"/>
    </row>
    <row r="184" spans="11:14" ht="13.2" x14ac:dyDescent="0.25">
      <c r="K184" s="6"/>
      <c r="L184" s="6"/>
      <c r="M184" s="6"/>
      <c r="N184" s="6"/>
    </row>
    <row r="185" spans="11:14" ht="13.2" x14ac:dyDescent="0.25">
      <c r="K185" s="6"/>
      <c r="L185" s="6"/>
      <c r="M185" s="6"/>
      <c r="N185" s="6"/>
    </row>
    <row r="186" spans="11:14" ht="13.2" x14ac:dyDescent="0.25">
      <c r="K186" s="6"/>
      <c r="L186" s="6"/>
      <c r="M186" s="6"/>
      <c r="N186" s="6"/>
    </row>
    <row r="187" spans="11:14" ht="13.2" x14ac:dyDescent="0.25">
      <c r="K187" s="6"/>
      <c r="L187" s="6"/>
      <c r="M187" s="6"/>
      <c r="N187" s="6"/>
    </row>
    <row r="188" spans="11:14" ht="13.2" x14ac:dyDescent="0.25">
      <c r="K188" s="6"/>
      <c r="L188" s="6"/>
      <c r="M188" s="6"/>
      <c r="N188" s="6"/>
    </row>
    <row r="189" spans="11:14" ht="13.2" x14ac:dyDescent="0.25">
      <c r="K189" s="6"/>
      <c r="L189" s="6"/>
      <c r="M189" s="6"/>
      <c r="N189" s="6"/>
    </row>
    <row r="190" spans="11:14" ht="13.2" x14ac:dyDescent="0.25">
      <c r="K190" s="6"/>
      <c r="L190" s="6"/>
      <c r="M190" s="6"/>
      <c r="N190" s="6"/>
    </row>
    <row r="191" spans="11:14" ht="13.2" x14ac:dyDescent="0.25">
      <c r="K191" s="6"/>
      <c r="L191" s="6"/>
      <c r="M191" s="6"/>
      <c r="N191" s="6"/>
    </row>
    <row r="192" spans="11:14" ht="13.2" x14ac:dyDescent="0.25">
      <c r="K192" s="6"/>
      <c r="L192" s="6"/>
      <c r="M192" s="6"/>
      <c r="N192" s="6"/>
    </row>
    <row r="193" spans="11:14" ht="13.2" x14ac:dyDescent="0.25">
      <c r="K193" s="6"/>
      <c r="L193" s="6"/>
      <c r="M193" s="6"/>
      <c r="N193" s="6"/>
    </row>
    <row r="194" spans="11:14" ht="13.2" x14ac:dyDescent="0.25">
      <c r="K194" s="6"/>
      <c r="L194" s="6"/>
      <c r="M194" s="6"/>
      <c r="N194" s="6"/>
    </row>
    <row r="195" spans="11:14" ht="13.2" x14ac:dyDescent="0.25">
      <c r="K195" s="6"/>
      <c r="L195" s="6"/>
      <c r="M195" s="6"/>
      <c r="N195" s="6"/>
    </row>
    <row r="196" spans="11:14" ht="13.2" x14ac:dyDescent="0.25">
      <c r="K196" s="6"/>
      <c r="L196" s="6"/>
      <c r="M196" s="6"/>
      <c r="N196" s="6"/>
    </row>
    <row r="197" spans="11:14" ht="13.2" x14ac:dyDescent="0.25">
      <c r="K197" s="6"/>
      <c r="L197" s="6"/>
      <c r="M197" s="6"/>
      <c r="N197" s="6"/>
    </row>
    <row r="198" spans="11:14" ht="13.2" x14ac:dyDescent="0.25">
      <c r="K198" s="6"/>
      <c r="L198" s="6"/>
      <c r="M198" s="6"/>
      <c r="N198" s="6"/>
    </row>
    <row r="199" spans="11:14" ht="13.2" x14ac:dyDescent="0.25">
      <c r="K199" s="6"/>
      <c r="L199" s="6"/>
      <c r="M199" s="6"/>
      <c r="N199" s="6"/>
    </row>
    <row r="200" spans="11:14" ht="13.2" x14ac:dyDescent="0.25">
      <c r="K200" s="6"/>
      <c r="L200" s="6"/>
      <c r="M200" s="6"/>
      <c r="N200" s="6"/>
    </row>
    <row r="201" spans="11:14" ht="13.2" x14ac:dyDescent="0.25">
      <c r="K201" s="6"/>
      <c r="L201" s="6"/>
      <c r="M201" s="6"/>
      <c r="N201" s="6"/>
    </row>
    <row r="202" spans="11:14" ht="13.2" x14ac:dyDescent="0.25">
      <c r="K202" s="6"/>
      <c r="L202" s="6"/>
      <c r="M202" s="6"/>
      <c r="N202" s="6"/>
    </row>
    <row r="203" spans="11:14" ht="13.2" x14ac:dyDescent="0.25">
      <c r="K203" s="6"/>
      <c r="L203" s="6"/>
      <c r="M203" s="6"/>
      <c r="N203" s="6"/>
    </row>
    <row r="204" spans="11:14" ht="13.2" x14ac:dyDescent="0.25">
      <c r="K204" s="6"/>
      <c r="L204" s="6"/>
      <c r="M204" s="6"/>
      <c r="N204" s="6"/>
    </row>
    <row r="205" spans="11:14" ht="13.2" x14ac:dyDescent="0.25">
      <c r="K205" s="6"/>
      <c r="L205" s="6"/>
      <c r="M205" s="6"/>
      <c r="N205" s="6"/>
    </row>
    <row r="206" spans="11:14" ht="13.2" x14ac:dyDescent="0.25">
      <c r="K206" s="6"/>
      <c r="L206" s="6"/>
      <c r="M206" s="6"/>
      <c r="N206" s="6"/>
    </row>
    <row r="207" spans="11:14" ht="13.2" x14ac:dyDescent="0.25">
      <c r="K207" s="6"/>
      <c r="L207" s="6"/>
      <c r="M207" s="6"/>
      <c r="N207" s="6"/>
    </row>
    <row r="208" spans="11:14" ht="13.2" x14ac:dyDescent="0.25">
      <c r="K208" s="6"/>
      <c r="L208" s="6"/>
      <c r="M208" s="6"/>
      <c r="N208" s="6"/>
    </row>
    <row r="209" spans="11:14" ht="13.2" x14ac:dyDescent="0.25">
      <c r="K209" s="6"/>
      <c r="L209" s="6"/>
      <c r="M209" s="6"/>
      <c r="N209" s="6"/>
    </row>
    <row r="210" spans="11:14" ht="13.2" x14ac:dyDescent="0.25">
      <c r="K210" s="6"/>
      <c r="L210" s="6"/>
      <c r="M210" s="6"/>
      <c r="N210" s="6"/>
    </row>
    <row r="211" spans="11:14" ht="13.2" x14ac:dyDescent="0.25">
      <c r="K211" s="6"/>
      <c r="L211" s="6"/>
      <c r="M211" s="6"/>
      <c r="N211" s="6"/>
    </row>
    <row r="212" spans="11:14" ht="13.2" x14ac:dyDescent="0.25">
      <c r="K212" s="6"/>
      <c r="L212" s="6"/>
      <c r="M212" s="6"/>
      <c r="N212" s="6"/>
    </row>
    <row r="213" spans="11:14" ht="13.2" x14ac:dyDescent="0.25">
      <c r="K213" s="6"/>
      <c r="L213" s="6"/>
      <c r="M213" s="6"/>
      <c r="N213" s="6"/>
    </row>
    <row r="214" spans="11:14" ht="13.2" x14ac:dyDescent="0.25">
      <c r="K214" s="6"/>
      <c r="L214" s="6"/>
      <c r="M214" s="6"/>
      <c r="N214" s="6"/>
    </row>
    <row r="215" spans="11:14" ht="13.2" x14ac:dyDescent="0.25">
      <c r="K215" s="6"/>
      <c r="L215" s="6"/>
      <c r="M215" s="6"/>
      <c r="N215" s="6"/>
    </row>
    <row r="216" spans="11:14" ht="13.2" x14ac:dyDescent="0.25">
      <c r="K216" s="6"/>
      <c r="L216" s="6"/>
      <c r="M216" s="6"/>
      <c r="N216" s="6"/>
    </row>
    <row r="217" spans="11:14" ht="13.2" x14ac:dyDescent="0.25">
      <c r="K217" s="6"/>
      <c r="L217" s="6"/>
      <c r="M217" s="6"/>
      <c r="N217" s="6"/>
    </row>
    <row r="218" spans="11:14" ht="13.2" x14ac:dyDescent="0.25">
      <c r="K218" s="6"/>
      <c r="L218" s="6"/>
      <c r="M218" s="6"/>
      <c r="N218" s="6"/>
    </row>
    <row r="219" spans="11:14" ht="13.2" x14ac:dyDescent="0.25">
      <c r="K219" s="6"/>
      <c r="L219" s="6"/>
      <c r="M219" s="6"/>
      <c r="N219" s="6"/>
    </row>
    <row r="220" spans="11:14" ht="13.2" x14ac:dyDescent="0.25">
      <c r="K220" s="6"/>
      <c r="L220" s="6"/>
      <c r="M220" s="6"/>
      <c r="N220" s="6"/>
    </row>
    <row r="221" spans="11:14" ht="13.2" x14ac:dyDescent="0.25">
      <c r="K221" s="6"/>
      <c r="L221" s="6"/>
      <c r="M221" s="6"/>
      <c r="N221" s="6"/>
    </row>
    <row r="222" spans="11:14" ht="13.2" x14ac:dyDescent="0.25">
      <c r="K222" s="6"/>
      <c r="L222" s="6"/>
      <c r="M222" s="6"/>
      <c r="N222" s="6"/>
    </row>
    <row r="223" spans="11:14" ht="13.2" x14ac:dyDescent="0.25">
      <c r="K223" s="6"/>
      <c r="L223" s="6"/>
      <c r="M223" s="6"/>
      <c r="N223" s="6"/>
    </row>
    <row r="224" spans="11:14" ht="13.2" x14ac:dyDescent="0.25">
      <c r="K224" s="6"/>
      <c r="L224" s="6"/>
      <c r="M224" s="6"/>
      <c r="N224" s="6"/>
    </row>
    <row r="225" spans="11:14" ht="13.2" x14ac:dyDescent="0.25">
      <c r="K225" s="6"/>
      <c r="L225" s="6"/>
      <c r="M225" s="6"/>
      <c r="N225" s="6"/>
    </row>
    <row r="226" spans="11:14" ht="13.2" x14ac:dyDescent="0.25">
      <c r="K226" s="6"/>
      <c r="L226" s="6"/>
      <c r="M226" s="6"/>
      <c r="N226" s="6"/>
    </row>
    <row r="227" spans="11:14" ht="13.2" x14ac:dyDescent="0.25">
      <c r="K227" s="6"/>
      <c r="L227" s="6"/>
      <c r="M227" s="6"/>
      <c r="N227" s="6"/>
    </row>
    <row r="228" spans="11:14" ht="13.2" x14ac:dyDescent="0.25">
      <c r="K228" s="6"/>
      <c r="L228" s="6"/>
      <c r="M228" s="6"/>
      <c r="N228" s="6"/>
    </row>
    <row r="229" spans="11:14" ht="13.2" x14ac:dyDescent="0.25">
      <c r="K229" s="6"/>
      <c r="L229" s="6"/>
      <c r="M229" s="6"/>
      <c r="N229" s="6"/>
    </row>
    <row r="230" spans="11:14" ht="13.2" x14ac:dyDescent="0.25">
      <c r="K230" s="6"/>
      <c r="L230" s="6"/>
      <c r="M230" s="6"/>
      <c r="N230" s="6"/>
    </row>
    <row r="231" spans="11:14" ht="13.2" x14ac:dyDescent="0.25">
      <c r="K231" s="6"/>
      <c r="L231" s="6"/>
      <c r="M231" s="6"/>
      <c r="N231" s="6"/>
    </row>
    <row r="232" spans="11:14" ht="13.2" x14ac:dyDescent="0.25">
      <c r="K232" s="6"/>
      <c r="L232" s="6"/>
      <c r="M232" s="6"/>
      <c r="N232" s="6"/>
    </row>
    <row r="233" spans="11:14" ht="13.2" x14ac:dyDescent="0.25">
      <c r="K233" s="6"/>
      <c r="L233" s="6"/>
      <c r="M233" s="6"/>
      <c r="N233" s="6"/>
    </row>
    <row r="234" spans="11:14" ht="13.2" x14ac:dyDescent="0.25">
      <c r="K234" s="6"/>
      <c r="L234" s="6"/>
      <c r="M234" s="6"/>
      <c r="N234" s="6"/>
    </row>
    <row r="235" spans="11:14" ht="13.2" x14ac:dyDescent="0.25">
      <c r="K235" s="6"/>
      <c r="L235" s="6"/>
      <c r="M235" s="6"/>
      <c r="N235" s="6"/>
    </row>
    <row r="236" spans="11:14" ht="13.2" x14ac:dyDescent="0.25">
      <c r="K236" s="6"/>
      <c r="L236" s="6"/>
      <c r="M236" s="6"/>
      <c r="N236" s="6"/>
    </row>
    <row r="237" spans="11:14" ht="13.2" x14ac:dyDescent="0.25">
      <c r="K237" s="6"/>
      <c r="L237" s="6"/>
      <c r="M237" s="6"/>
      <c r="N237" s="6"/>
    </row>
    <row r="238" spans="11:14" ht="13.2" x14ac:dyDescent="0.25">
      <c r="K238" s="6"/>
      <c r="L238" s="6"/>
      <c r="M238" s="6"/>
      <c r="N238" s="6"/>
    </row>
    <row r="239" spans="11:14" ht="13.2" x14ac:dyDescent="0.25">
      <c r="K239" s="6"/>
      <c r="L239" s="6"/>
      <c r="M239" s="6"/>
      <c r="N239" s="6"/>
    </row>
    <row r="240" spans="11:14" ht="13.2" x14ac:dyDescent="0.25">
      <c r="K240" s="6"/>
      <c r="L240" s="6"/>
      <c r="M240" s="6"/>
      <c r="N240" s="6"/>
    </row>
    <row r="241" spans="11:14" ht="13.2" x14ac:dyDescent="0.25">
      <c r="K241" s="6"/>
      <c r="L241" s="6"/>
      <c r="M241" s="6"/>
      <c r="N241" s="6"/>
    </row>
    <row r="242" spans="11:14" ht="13.2" x14ac:dyDescent="0.25">
      <c r="K242" s="6"/>
      <c r="L242" s="6"/>
      <c r="M242" s="6"/>
      <c r="N242" s="6"/>
    </row>
    <row r="243" spans="11:14" ht="13.2" x14ac:dyDescent="0.25">
      <c r="K243" s="6"/>
      <c r="L243" s="6"/>
      <c r="M243" s="6"/>
      <c r="N243" s="6"/>
    </row>
    <row r="244" spans="11:14" ht="13.2" x14ac:dyDescent="0.25">
      <c r="K244" s="6"/>
      <c r="L244" s="6"/>
      <c r="M244" s="6"/>
      <c r="N244" s="6"/>
    </row>
    <row r="245" spans="11:14" ht="13.2" x14ac:dyDescent="0.25">
      <c r="K245" s="6"/>
      <c r="L245" s="6"/>
      <c r="M245" s="6"/>
      <c r="N245" s="6"/>
    </row>
    <row r="246" spans="11:14" ht="13.2" x14ac:dyDescent="0.25">
      <c r="K246" s="6"/>
      <c r="L246" s="6"/>
      <c r="M246" s="6"/>
      <c r="N246" s="6"/>
    </row>
    <row r="247" spans="11:14" ht="13.2" x14ac:dyDescent="0.25">
      <c r="K247" s="6"/>
      <c r="L247" s="6"/>
      <c r="M247" s="6"/>
      <c r="N247" s="6"/>
    </row>
    <row r="248" spans="11:14" ht="13.2" x14ac:dyDescent="0.25">
      <c r="K248" s="6"/>
      <c r="L248" s="6"/>
      <c r="M248" s="6"/>
      <c r="N248" s="6"/>
    </row>
    <row r="249" spans="11:14" ht="13.2" x14ac:dyDescent="0.25">
      <c r="K249" s="6"/>
      <c r="L249" s="6"/>
      <c r="M249" s="6"/>
      <c r="N249" s="6"/>
    </row>
    <row r="250" spans="11:14" ht="13.2" x14ac:dyDescent="0.25">
      <c r="K250" s="6"/>
      <c r="L250" s="6"/>
      <c r="M250" s="6"/>
      <c r="N250" s="6"/>
    </row>
    <row r="251" spans="11:14" ht="13.2" x14ac:dyDescent="0.25">
      <c r="K251" s="6"/>
      <c r="L251" s="6"/>
      <c r="M251" s="6"/>
      <c r="N251" s="6"/>
    </row>
    <row r="252" spans="11:14" ht="13.2" x14ac:dyDescent="0.25">
      <c r="K252" s="6"/>
      <c r="L252" s="6"/>
      <c r="M252" s="6"/>
      <c r="N252" s="6"/>
    </row>
    <row r="253" spans="11:14" ht="13.2" x14ac:dyDescent="0.25">
      <c r="K253" s="6"/>
      <c r="L253" s="6"/>
      <c r="M253" s="6"/>
      <c r="N253" s="6"/>
    </row>
    <row r="254" spans="11:14" ht="13.2" x14ac:dyDescent="0.25">
      <c r="K254" s="6"/>
      <c r="L254" s="6"/>
      <c r="M254" s="6"/>
      <c r="N254" s="6"/>
    </row>
    <row r="255" spans="11:14" ht="13.2" x14ac:dyDescent="0.25">
      <c r="K255" s="6"/>
      <c r="L255" s="6"/>
      <c r="M255" s="6"/>
      <c r="N255" s="6"/>
    </row>
    <row r="256" spans="11:14" ht="13.2" x14ac:dyDescent="0.25">
      <c r="K256" s="6"/>
      <c r="L256" s="6"/>
      <c r="M256" s="6"/>
      <c r="N256" s="6"/>
    </row>
    <row r="257" spans="11:14" ht="13.2" x14ac:dyDescent="0.25">
      <c r="K257" s="6"/>
      <c r="L257" s="6"/>
      <c r="M257" s="6"/>
      <c r="N257" s="6"/>
    </row>
    <row r="258" spans="11:14" ht="13.2" x14ac:dyDescent="0.25">
      <c r="K258" s="6"/>
      <c r="L258" s="6"/>
      <c r="M258" s="6"/>
      <c r="N258" s="6"/>
    </row>
    <row r="259" spans="11:14" ht="13.2" x14ac:dyDescent="0.25">
      <c r="K259" s="6"/>
      <c r="L259" s="6"/>
      <c r="M259" s="6"/>
      <c r="N259" s="6"/>
    </row>
    <row r="260" spans="11:14" ht="13.2" x14ac:dyDescent="0.25">
      <c r="K260" s="6"/>
      <c r="L260" s="6"/>
      <c r="M260" s="6"/>
      <c r="N260" s="6"/>
    </row>
    <row r="261" spans="11:14" ht="13.2" x14ac:dyDescent="0.25">
      <c r="K261" s="6"/>
      <c r="L261" s="6"/>
      <c r="M261" s="6"/>
      <c r="N261" s="6"/>
    </row>
    <row r="262" spans="11:14" ht="13.2" x14ac:dyDescent="0.25">
      <c r="K262" s="6"/>
      <c r="L262" s="6"/>
      <c r="M262" s="6"/>
      <c r="N262" s="6"/>
    </row>
    <row r="263" spans="11:14" ht="13.2" x14ac:dyDescent="0.25">
      <c r="K263" s="6"/>
      <c r="L263" s="6"/>
      <c r="M263" s="6"/>
      <c r="N263" s="6"/>
    </row>
    <row r="264" spans="11:14" ht="13.2" x14ac:dyDescent="0.25">
      <c r="K264" s="6"/>
      <c r="L264" s="6"/>
      <c r="M264" s="6"/>
      <c r="N264" s="6"/>
    </row>
    <row r="265" spans="11:14" ht="13.2" x14ac:dyDescent="0.25">
      <c r="K265" s="6"/>
      <c r="L265" s="6"/>
      <c r="M265" s="6"/>
      <c r="N265" s="6"/>
    </row>
    <row r="266" spans="11:14" ht="13.2" x14ac:dyDescent="0.25">
      <c r="K266" s="6"/>
      <c r="L266" s="6"/>
      <c r="M266" s="6"/>
      <c r="N266" s="6"/>
    </row>
    <row r="267" spans="11:14" ht="13.2" x14ac:dyDescent="0.25">
      <c r="K267" s="6"/>
      <c r="L267" s="6"/>
      <c r="M267" s="6"/>
      <c r="N267" s="6"/>
    </row>
    <row r="268" spans="11:14" ht="13.2" x14ac:dyDescent="0.25">
      <c r="K268" s="6"/>
      <c r="L268" s="6"/>
      <c r="M268" s="6"/>
      <c r="N268" s="6"/>
    </row>
    <row r="269" spans="11:14" ht="13.2" x14ac:dyDescent="0.25">
      <c r="K269" s="6"/>
      <c r="L269" s="6"/>
      <c r="M269" s="6"/>
      <c r="N269" s="6"/>
    </row>
    <row r="270" spans="11:14" ht="13.2" x14ac:dyDescent="0.25">
      <c r="K270" s="6"/>
      <c r="L270" s="6"/>
      <c r="M270" s="6"/>
      <c r="N270" s="6"/>
    </row>
    <row r="271" spans="11:14" ht="13.2" x14ac:dyDescent="0.25">
      <c r="K271" s="6"/>
      <c r="L271" s="6"/>
      <c r="M271" s="6"/>
      <c r="N271" s="6"/>
    </row>
    <row r="272" spans="11:14" ht="13.2" x14ac:dyDescent="0.25">
      <c r="K272" s="6"/>
      <c r="L272" s="6"/>
      <c r="M272" s="6"/>
      <c r="N272" s="6"/>
    </row>
    <row r="273" spans="11:14" ht="13.2" x14ac:dyDescent="0.25">
      <c r="K273" s="6"/>
      <c r="L273" s="6"/>
      <c r="M273" s="6"/>
      <c r="N273" s="6"/>
    </row>
    <row r="274" spans="11:14" ht="13.2" x14ac:dyDescent="0.25">
      <c r="K274" s="6"/>
      <c r="L274" s="6"/>
      <c r="M274" s="6"/>
      <c r="N274" s="6"/>
    </row>
    <row r="275" spans="11:14" ht="13.2" x14ac:dyDescent="0.25">
      <c r="K275" s="6"/>
      <c r="L275" s="6"/>
      <c r="M275" s="6"/>
      <c r="N275" s="6"/>
    </row>
    <row r="276" spans="11:14" ht="13.2" x14ac:dyDescent="0.25">
      <c r="K276" s="6"/>
      <c r="L276" s="6"/>
      <c r="M276" s="6"/>
      <c r="N276" s="6"/>
    </row>
    <row r="277" spans="11:14" ht="13.2" x14ac:dyDescent="0.25">
      <c r="K277" s="6"/>
      <c r="L277" s="6"/>
      <c r="M277" s="6"/>
      <c r="N277" s="6"/>
    </row>
    <row r="278" spans="11:14" ht="13.2" x14ac:dyDescent="0.25">
      <c r="K278" s="6"/>
      <c r="L278" s="6"/>
      <c r="M278" s="6"/>
      <c r="N278" s="6"/>
    </row>
    <row r="279" spans="11:14" ht="13.2" x14ac:dyDescent="0.25">
      <c r="K279" s="6"/>
      <c r="L279" s="6"/>
      <c r="M279" s="6"/>
      <c r="N279" s="6"/>
    </row>
    <row r="280" spans="11:14" ht="13.2" x14ac:dyDescent="0.25">
      <c r="K280" s="6"/>
      <c r="L280" s="6"/>
      <c r="M280" s="6"/>
      <c r="N280" s="6"/>
    </row>
    <row r="281" spans="11:14" ht="13.2" x14ac:dyDescent="0.25">
      <c r="K281" s="6"/>
      <c r="L281" s="6"/>
      <c r="M281" s="6"/>
      <c r="N281" s="6"/>
    </row>
    <row r="282" spans="11:14" ht="13.2" x14ac:dyDescent="0.25">
      <c r="K282" s="6"/>
      <c r="L282" s="6"/>
      <c r="M282" s="6"/>
      <c r="N282" s="6"/>
    </row>
    <row r="283" spans="11:14" ht="13.2" x14ac:dyDescent="0.25">
      <c r="K283" s="6"/>
      <c r="L283" s="6"/>
      <c r="M283" s="6"/>
      <c r="N283" s="6"/>
    </row>
    <row r="284" spans="11:14" ht="13.2" x14ac:dyDescent="0.25">
      <c r="K284" s="6"/>
      <c r="L284" s="6"/>
      <c r="M284" s="6"/>
      <c r="N284" s="6"/>
    </row>
    <row r="285" spans="11:14" ht="13.2" x14ac:dyDescent="0.25">
      <c r="K285" s="6"/>
      <c r="L285" s="6"/>
      <c r="M285" s="6"/>
      <c r="N285" s="6"/>
    </row>
    <row r="286" spans="11:14" ht="13.2" x14ac:dyDescent="0.25">
      <c r="K286" s="6"/>
      <c r="L286" s="6"/>
      <c r="M286" s="6"/>
      <c r="N286" s="6"/>
    </row>
    <row r="287" spans="11:14" ht="13.2" x14ac:dyDescent="0.25">
      <c r="K287" s="6"/>
      <c r="L287" s="6"/>
      <c r="M287" s="6"/>
      <c r="N287" s="6"/>
    </row>
    <row r="288" spans="11:14" ht="13.2" x14ac:dyDescent="0.25">
      <c r="K288" s="6"/>
      <c r="L288" s="6"/>
      <c r="M288" s="6"/>
      <c r="N288" s="6"/>
    </row>
    <row r="289" spans="11:14" ht="13.2" x14ac:dyDescent="0.25">
      <c r="K289" s="6"/>
      <c r="L289" s="6"/>
      <c r="M289" s="6"/>
      <c r="N289" s="6"/>
    </row>
    <row r="290" spans="11:14" ht="13.2" x14ac:dyDescent="0.25">
      <c r="K290" s="6"/>
      <c r="L290" s="6"/>
      <c r="M290" s="6"/>
      <c r="N290" s="6"/>
    </row>
    <row r="291" spans="11:14" ht="13.2" x14ac:dyDescent="0.25">
      <c r="K291" s="6"/>
      <c r="L291" s="6"/>
      <c r="M291" s="6"/>
      <c r="N291" s="6"/>
    </row>
    <row r="292" spans="11:14" ht="13.2" x14ac:dyDescent="0.25">
      <c r="K292" s="6"/>
      <c r="L292" s="6"/>
      <c r="M292" s="6"/>
      <c r="N292" s="6"/>
    </row>
    <row r="293" spans="11:14" ht="13.2" x14ac:dyDescent="0.25">
      <c r="K293" s="6"/>
      <c r="L293" s="6"/>
      <c r="M293" s="6"/>
      <c r="N293" s="6"/>
    </row>
    <row r="294" spans="11:14" ht="13.2" x14ac:dyDescent="0.25">
      <c r="K294" s="6"/>
      <c r="L294" s="6"/>
      <c r="M294" s="6"/>
      <c r="N294" s="6"/>
    </row>
    <row r="295" spans="11:14" ht="13.2" x14ac:dyDescent="0.25">
      <c r="K295" s="6"/>
      <c r="L295" s="6"/>
      <c r="M295" s="6"/>
      <c r="N295" s="6"/>
    </row>
    <row r="296" spans="11:14" ht="13.2" x14ac:dyDescent="0.25">
      <c r="K296" s="6"/>
      <c r="L296" s="6"/>
      <c r="M296" s="6"/>
      <c r="N296" s="6"/>
    </row>
    <row r="297" spans="11:14" ht="13.2" x14ac:dyDescent="0.25">
      <c r="K297" s="6"/>
      <c r="L297" s="6"/>
      <c r="M297" s="6"/>
      <c r="N297" s="6"/>
    </row>
    <row r="298" spans="11:14" ht="13.2" x14ac:dyDescent="0.25">
      <c r="K298" s="6"/>
      <c r="L298" s="6"/>
      <c r="M298" s="6"/>
      <c r="N298" s="6"/>
    </row>
    <row r="299" spans="11:14" ht="13.2" x14ac:dyDescent="0.25">
      <c r="K299" s="6"/>
      <c r="L299" s="6"/>
      <c r="M299" s="6"/>
      <c r="N299" s="6"/>
    </row>
    <row r="300" spans="11:14" ht="13.2" x14ac:dyDescent="0.25">
      <c r="K300" s="6"/>
      <c r="L300" s="6"/>
      <c r="M300" s="6"/>
      <c r="N300" s="6"/>
    </row>
    <row r="301" spans="11:14" ht="13.2" x14ac:dyDescent="0.25">
      <c r="K301" s="6"/>
      <c r="L301" s="6"/>
      <c r="M301" s="6"/>
      <c r="N301" s="6"/>
    </row>
    <row r="302" spans="11:14" ht="13.2" x14ac:dyDescent="0.25">
      <c r="K302" s="6"/>
      <c r="L302" s="6"/>
      <c r="M302" s="6"/>
      <c r="N302" s="6"/>
    </row>
    <row r="303" spans="11:14" ht="13.2" x14ac:dyDescent="0.25">
      <c r="K303" s="6"/>
      <c r="L303" s="6"/>
      <c r="M303" s="6"/>
      <c r="N303" s="6"/>
    </row>
    <row r="304" spans="11:14" ht="13.2" x14ac:dyDescent="0.25">
      <c r="K304" s="6"/>
      <c r="L304" s="6"/>
      <c r="M304" s="6"/>
      <c r="N304" s="6"/>
    </row>
    <row r="305" spans="11:14" ht="13.2" x14ac:dyDescent="0.25">
      <c r="K305" s="6"/>
      <c r="L305" s="6"/>
      <c r="M305" s="6"/>
      <c r="N305" s="6"/>
    </row>
    <row r="306" spans="11:14" ht="13.2" x14ac:dyDescent="0.25">
      <c r="K306" s="6"/>
      <c r="L306" s="6"/>
      <c r="M306" s="6"/>
      <c r="N306" s="6"/>
    </row>
    <row r="307" spans="11:14" ht="13.2" x14ac:dyDescent="0.25">
      <c r="K307" s="6"/>
      <c r="L307" s="6"/>
      <c r="M307" s="6"/>
      <c r="N307" s="6"/>
    </row>
    <row r="308" spans="11:14" ht="13.2" x14ac:dyDescent="0.25">
      <c r="K308" s="6"/>
      <c r="L308" s="6"/>
      <c r="M308" s="6"/>
      <c r="N308" s="6"/>
    </row>
    <row r="309" spans="11:14" ht="13.2" x14ac:dyDescent="0.25">
      <c r="K309" s="6"/>
      <c r="L309" s="6"/>
      <c r="M309" s="6"/>
      <c r="N309" s="6"/>
    </row>
    <row r="310" spans="11:14" ht="13.2" x14ac:dyDescent="0.25">
      <c r="K310" s="6"/>
      <c r="L310" s="6"/>
      <c r="M310" s="6"/>
      <c r="N310" s="6"/>
    </row>
    <row r="311" spans="11:14" ht="13.2" x14ac:dyDescent="0.25">
      <c r="K311" s="6"/>
      <c r="L311" s="6"/>
      <c r="M311" s="6"/>
      <c r="N311" s="6"/>
    </row>
    <row r="312" spans="11:14" ht="13.2" x14ac:dyDescent="0.25">
      <c r="K312" s="6"/>
      <c r="L312" s="6"/>
      <c r="M312" s="6"/>
      <c r="N312" s="6"/>
    </row>
    <row r="313" spans="11:14" ht="13.2" x14ac:dyDescent="0.25">
      <c r="K313" s="6"/>
      <c r="L313" s="6"/>
      <c r="M313" s="6"/>
      <c r="N313" s="6"/>
    </row>
    <row r="314" spans="11:14" ht="13.2" x14ac:dyDescent="0.25">
      <c r="K314" s="6"/>
      <c r="L314" s="6"/>
      <c r="M314" s="6"/>
      <c r="N314" s="6"/>
    </row>
    <row r="315" spans="11:14" ht="13.2" x14ac:dyDescent="0.25">
      <c r="K315" s="6"/>
      <c r="L315" s="6"/>
      <c r="M315" s="6"/>
      <c r="N315" s="6"/>
    </row>
    <row r="316" spans="11:14" ht="13.2" x14ac:dyDescent="0.25">
      <c r="K316" s="6"/>
      <c r="L316" s="6"/>
      <c r="M316" s="6"/>
      <c r="N316" s="6"/>
    </row>
    <row r="317" spans="11:14" ht="13.2" x14ac:dyDescent="0.25">
      <c r="K317" s="6"/>
      <c r="L317" s="6"/>
      <c r="M317" s="6"/>
      <c r="N317" s="6"/>
    </row>
    <row r="318" spans="11:14" ht="13.2" x14ac:dyDescent="0.25">
      <c r="K318" s="6"/>
      <c r="L318" s="6"/>
      <c r="M318" s="6"/>
      <c r="N318" s="6"/>
    </row>
    <row r="319" spans="11:14" ht="13.2" x14ac:dyDescent="0.25">
      <c r="K319" s="6"/>
      <c r="L319" s="6"/>
      <c r="M319" s="6"/>
      <c r="N319" s="6"/>
    </row>
    <row r="320" spans="11:14" ht="13.2" x14ac:dyDescent="0.25">
      <c r="K320" s="6"/>
      <c r="L320" s="6"/>
      <c r="M320" s="6"/>
      <c r="N320" s="6"/>
    </row>
    <row r="321" spans="11:14" ht="13.2" x14ac:dyDescent="0.25">
      <c r="K321" s="6"/>
      <c r="L321" s="6"/>
      <c r="M321" s="6"/>
      <c r="N321" s="6"/>
    </row>
    <row r="322" spans="11:14" ht="13.2" x14ac:dyDescent="0.25">
      <c r="K322" s="6"/>
      <c r="L322" s="6"/>
      <c r="M322" s="6"/>
      <c r="N322" s="6"/>
    </row>
    <row r="323" spans="11:14" ht="13.2" x14ac:dyDescent="0.25">
      <c r="K323" s="6"/>
      <c r="L323" s="6"/>
      <c r="M323" s="6"/>
      <c r="N323" s="6"/>
    </row>
    <row r="324" spans="11:14" ht="13.2" x14ac:dyDescent="0.25">
      <c r="K324" s="6"/>
      <c r="L324" s="6"/>
      <c r="M324" s="6"/>
      <c r="N324" s="6"/>
    </row>
    <row r="325" spans="11:14" ht="13.2" x14ac:dyDescent="0.25">
      <c r="K325" s="6"/>
      <c r="L325" s="6"/>
      <c r="M325" s="6"/>
      <c r="N325" s="6"/>
    </row>
    <row r="326" spans="11:14" ht="13.2" x14ac:dyDescent="0.25">
      <c r="K326" s="6"/>
      <c r="L326" s="6"/>
      <c r="M326" s="6"/>
      <c r="N326" s="6"/>
    </row>
    <row r="327" spans="11:14" ht="13.2" x14ac:dyDescent="0.25">
      <c r="K327" s="6"/>
      <c r="L327" s="6"/>
      <c r="M327" s="6"/>
      <c r="N327" s="6"/>
    </row>
    <row r="328" spans="11:14" ht="13.2" x14ac:dyDescent="0.25">
      <c r="K328" s="6"/>
      <c r="L328" s="6"/>
      <c r="M328" s="6"/>
      <c r="N328" s="6"/>
    </row>
    <row r="329" spans="11:14" ht="13.2" x14ac:dyDescent="0.25">
      <c r="K329" s="6"/>
      <c r="L329" s="6"/>
      <c r="M329" s="6"/>
      <c r="N329" s="6"/>
    </row>
    <row r="330" spans="11:14" ht="13.2" x14ac:dyDescent="0.25">
      <c r="K330" s="6"/>
      <c r="L330" s="6"/>
      <c r="M330" s="6"/>
      <c r="N330" s="6"/>
    </row>
    <row r="331" spans="11:14" ht="13.2" x14ac:dyDescent="0.25">
      <c r="K331" s="6"/>
      <c r="L331" s="6"/>
      <c r="M331" s="6"/>
      <c r="N331" s="6"/>
    </row>
    <row r="332" spans="11:14" ht="13.2" x14ac:dyDescent="0.25">
      <c r="K332" s="6"/>
      <c r="L332" s="6"/>
      <c r="M332" s="6"/>
      <c r="N332" s="6"/>
    </row>
    <row r="333" spans="11:14" ht="13.2" x14ac:dyDescent="0.25">
      <c r="K333" s="6"/>
      <c r="L333" s="6"/>
      <c r="M333" s="6"/>
      <c r="N333" s="6"/>
    </row>
    <row r="334" spans="11:14" ht="13.2" x14ac:dyDescent="0.25">
      <c r="K334" s="6"/>
      <c r="L334" s="6"/>
      <c r="M334" s="6"/>
      <c r="N334" s="6"/>
    </row>
    <row r="335" spans="11:14" ht="13.2" x14ac:dyDescent="0.25">
      <c r="K335" s="6"/>
      <c r="L335" s="6"/>
      <c r="M335" s="6"/>
      <c r="N335" s="6"/>
    </row>
    <row r="336" spans="11:14" ht="13.2" x14ac:dyDescent="0.25">
      <c r="K336" s="6"/>
      <c r="L336" s="6"/>
      <c r="M336" s="6"/>
      <c r="N336" s="6"/>
    </row>
    <row r="337" spans="11:14" ht="13.2" x14ac:dyDescent="0.25">
      <c r="K337" s="6"/>
      <c r="L337" s="6"/>
      <c r="M337" s="6"/>
      <c r="N337" s="6"/>
    </row>
    <row r="338" spans="11:14" ht="13.2" x14ac:dyDescent="0.25">
      <c r="K338" s="6"/>
      <c r="L338" s="6"/>
      <c r="M338" s="6"/>
      <c r="N338" s="6"/>
    </row>
    <row r="339" spans="11:14" ht="13.2" x14ac:dyDescent="0.25">
      <c r="K339" s="6"/>
      <c r="L339" s="6"/>
      <c r="M339" s="6"/>
      <c r="N339" s="6"/>
    </row>
    <row r="340" spans="11:14" ht="13.2" x14ac:dyDescent="0.25">
      <c r="K340" s="6"/>
      <c r="L340" s="6"/>
      <c r="M340" s="6"/>
      <c r="N340" s="6"/>
    </row>
    <row r="341" spans="11:14" ht="13.2" x14ac:dyDescent="0.25">
      <c r="K341" s="6"/>
      <c r="L341" s="6"/>
      <c r="M341" s="6"/>
      <c r="N341" s="6"/>
    </row>
    <row r="342" spans="11:14" ht="13.2" x14ac:dyDescent="0.25">
      <c r="K342" s="6"/>
      <c r="L342" s="6"/>
      <c r="M342" s="6"/>
      <c r="N342" s="6"/>
    </row>
    <row r="343" spans="11:14" ht="13.2" x14ac:dyDescent="0.25">
      <c r="K343" s="6"/>
      <c r="L343" s="6"/>
      <c r="M343" s="6"/>
      <c r="N343" s="6"/>
    </row>
    <row r="344" spans="11:14" ht="13.2" x14ac:dyDescent="0.25">
      <c r="K344" s="6"/>
      <c r="L344" s="6"/>
      <c r="M344" s="6"/>
      <c r="N344" s="6"/>
    </row>
    <row r="345" spans="11:14" ht="13.2" x14ac:dyDescent="0.25">
      <c r="K345" s="6"/>
      <c r="L345" s="6"/>
      <c r="M345" s="6"/>
      <c r="N345" s="6"/>
    </row>
    <row r="346" spans="11:14" ht="13.2" x14ac:dyDescent="0.25">
      <c r="K346" s="6"/>
      <c r="L346" s="6"/>
      <c r="M346" s="6"/>
      <c r="N346" s="6"/>
    </row>
    <row r="347" spans="11:14" ht="13.2" x14ac:dyDescent="0.25">
      <c r="K347" s="6"/>
      <c r="L347" s="6"/>
      <c r="M347" s="6"/>
      <c r="N347" s="6"/>
    </row>
    <row r="348" spans="11:14" ht="13.2" x14ac:dyDescent="0.25">
      <c r="K348" s="6"/>
      <c r="L348" s="6"/>
      <c r="M348" s="6"/>
      <c r="N348" s="6"/>
    </row>
    <row r="349" spans="11:14" ht="13.2" x14ac:dyDescent="0.25">
      <c r="K349" s="6"/>
      <c r="L349" s="6"/>
      <c r="M349" s="6"/>
      <c r="N349" s="6"/>
    </row>
    <row r="350" spans="11:14" ht="13.2" x14ac:dyDescent="0.25">
      <c r="K350" s="6"/>
      <c r="L350" s="6"/>
      <c r="M350" s="6"/>
      <c r="N350" s="6"/>
    </row>
    <row r="351" spans="11:14" ht="13.2" x14ac:dyDescent="0.25">
      <c r="K351" s="6"/>
      <c r="L351" s="6"/>
      <c r="M351" s="6"/>
      <c r="N351" s="6"/>
    </row>
    <row r="352" spans="11:14" ht="13.2" x14ac:dyDescent="0.25">
      <c r="K352" s="6"/>
      <c r="L352" s="6"/>
      <c r="M352" s="6"/>
      <c r="N352" s="6"/>
    </row>
    <row r="353" spans="11:14" ht="13.2" x14ac:dyDescent="0.25">
      <c r="K353" s="6"/>
      <c r="L353" s="6"/>
      <c r="M353" s="6"/>
      <c r="N353" s="6"/>
    </row>
    <row r="354" spans="11:14" ht="13.2" x14ac:dyDescent="0.25">
      <c r="K354" s="6"/>
      <c r="L354" s="6"/>
      <c r="M354" s="6"/>
      <c r="N354" s="6"/>
    </row>
    <row r="355" spans="11:14" ht="13.2" x14ac:dyDescent="0.25">
      <c r="K355" s="6"/>
      <c r="L355" s="6"/>
      <c r="M355" s="6"/>
      <c r="N355" s="6"/>
    </row>
    <row r="356" spans="11:14" ht="13.2" x14ac:dyDescent="0.25">
      <c r="K356" s="6"/>
      <c r="L356" s="6"/>
      <c r="M356" s="6"/>
      <c r="N356" s="6"/>
    </row>
    <row r="357" spans="11:14" ht="13.2" x14ac:dyDescent="0.25">
      <c r="K357" s="6"/>
      <c r="L357" s="6"/>
      <c r="M357" s="6"/>
      <c r="N357" s="6"/>
    </row>
    <row r="358" spans="11:14" ht="13.2" x14ac:dyDescent="0.25">
      <c r="K358" s="6"/>
      <c r="L358" s="6"/>
      <c r="M358" s="6"/>
      <c r="N358" s="6"/>
    </row>
    <row r="359" spans="11:14" ht="13.2" x14ac:dyDescent="0.25">
      <c r="K359" s="6"/>
      <c r="L359" s="6"/>
      <c r="M359" s="6"/>
      <c r="N359" s="6"/>
    </row>
    <row r="360" spans="11:14" ht="13.2" x14ac:dyDescent="0.25">
      <c r="K360" s="6"/>
      <c r="L360" s="6"/>
      <c r="M360" s="6"/>
      <c r="N360" s="6"/>
    </row>
    <row r="361" spans="11:14" ht="13.2" x14ac:dyDescent="0.25">
      <c r="K361" s="6"/>
      <c r="L361" s="6"/>
      <c r="M361" s="6"/>
      <c r="N361" s="6"/>
    </row>
    <row r="362" spans="11:14" ht="13.2" x14ac:dyDescent="0.25">
      <c r="K362" s="6"/>
      <c r="L362" s="6"/>
      <c r="M362" s="6"/>
      <c r="N362" s="6"/>
    </row>
    <row r="363" spans="11:14" ht="13.2" x14ac:dyDescent="0.25">
      <c r="K363" s="6"/>
      <c r="L363" s="6"/>
      <c r="M363" s="6"/>
      <c r="N363" s="6"/>
    </row>
    <row r="364" spans="11:14" ht="13.2" x14ac:dyDescent="0.25">
      <c r="K364" s="6"/>
      <c r="L364" s="6"/>
      <c r="M364" s="6"/>
      <c r="N364" s="6"/>
    </row>
    <row r="365" spans="11:14" ht="13.2" x14ac:dyDescent="0.25">
      <c r="K365" s="6"/>
      <c r="L365" s="6"/>
      <c r="M365" s="6"/>
      <c r="N365" s="6"/>
    </row>
    <row r="366" spans="11:14" ht="13.2" x14ac:dyDescent="0.25">
      <c r="K366" s="6"/>
      <c r="L366" s="6"/>
      <c r="M366" s="6"/>
      <c r="N366" s="6"/>
    </row>
    <row r="367" spans="11:14" ht="13.2" x14ac:dyDescent="0.25">
      <c r="K367" s="6"/>
      <c r="L367" s="6"/>
      <c r="M367" s="6"/>
      <c r="N367" s="6"/>
    </row>
    <row r="368" spans="11:14" ht="13.2" x14ac:dyDescent="0.25">
      <c r="K368" s="6"/>
      <c r="L368" s="6"/>
      <c r="M368" s="6"/>
      <c r="N368" s="6"/>
    </row>
    <row r="369" spans="11:14" ht="13.2" x14ac:dyDescent="0.25">
      <c r="K369" s="6"/>
      <c r="L369" s="6"/>
      <c r="M369" s="6"/>
      <c r="N369" s="6"/>
    </row>
    <row r="370" spans="11:14" ht="13.2" x14ac:dyDescent="0.25">
      <c r="K370" s="6"/>
      <c r="L370" s="6"/>
      <c r="M370" s="6"/>
      <c r="N370" s="6"/>
    </row>
    <row r="371" spans="11:14" ht="13.2" x14ac:dyDescent="0.25">
      <c r="K371" s="6"/>
      <c r="L371" s="6"/>
      <c r="M371" s="6"/>
      <c r="N371" s="6"/>
    </row>
    <row r="372" spans="11:14" ht="13.2" x14ac:dyDescent="0.25">
      <c r="K372" s="6"/>
      <c r="L372" s="6"/>
      <c r="M372" s="6"/>
      <c r="N372" s="6"/>
    </row>
    <row r="373" spans="11:14" ht="13.2" x14ac:dyDescent="0.25">
      <c r="K373" s="6"/>
      <c r="L373" s="6"/>
      <c r="M373" s="6"/>
      <c r="N373" s="6"/>
    </row>
    <row r="374" spans="11:14" ht="13.2" x14ac:dyDescent="0.25">
      <c r="K374" s="6"/>
      <c r="L374" s="6"/>
      <c r="M374" s="6"/>
      <c r="N374" s="6"/>
    </row>
    <row r="375" spans="11:14" ht="13.2" x14ac:dyDescent="0.25">
      <c r="K375" s="6"/>
      <c r="L375" s="6"/>
      <c r="M375" s="6"/>
      <c r="N375" s="6"/>
    </row>
    <row r="376" spans="11:14" ht="13.2" x14ac:dyDescent="0.25">
      <c r="K376" s="6"/>
      <c r="L376" s="6"/>
      <c r="M376" s="6"/>
      <c r="N376" s="6"/>
    </row>
    <row r="377" spans="11:14" ht="13.2" x14ac:dyDescent="0.25">
      <c r="K377" s="6"/>
      <c r="L377" s="6"/>
      <c r="M377" s="6"/>
      <c r="N377" s="6"/>
    </row>
    <row r="378" spans="11:14" ht="13.2" x14ac:dyDescent="0.25">
      <c r="K378" s="6"/>
      <c r="L378" s="6"/>
      <c r="M378" s="6"/>
      <c r="N378" s="6"/>
    </row>
    <row r="379" spans="11:14" ht="13.2" x14ac:dyDescent="0.25">
      <c r="K379" s="6"/>
      <c r="L379" s="6"/>
      <c r="M379" s="6"/>
      <c r="N379" s="6"/>
    </row>
    <row r="380" spans="11:14" ht="13.2" x14ac:dyDescent="0.25">
      <c r="K380" s="6"/>
      <c r="L380" s="6"/>
      <c r="M380" s="6"/>
      <c r="N380" s="6"/>
    </row>
    <row r="381" spans="11:14" ht="13.2" x14ac:dyDescent="0.25">
      <c r="K381" s="6"/>
      <c r="L381" s="6"/>
      <c r="M381" s="6"/>
      <c r="N381" s="6"/>
    </row>
    <row r="382" spans="11:14" ht="13.2" x14ac:dyDescent="0.25">
      <c r="K382" s="6"/>
      <c r="L382" s="6"/>
      <c r="M382" s="6"/>
      <c r="N382" s="6"/>
    </row>
    <row r="383" spans="11:14" ht="13.2" x14ac:dyDescent="0.25">
      <c r="K383" s="6"/>
      <c r="L383" s="6"/>
      <c r="M383" s="6"/>
      <c r="N383" s="6"/>
    </row>
    <row r="384" spans="11:14" ht="13.2" x14ac:dyDescent="0.25">
      <c r="K384" s="6"/>
      <c r="L384" s="6"/>
      <c r="M384" s="6"/>
      <c r="N384" s="6"/>
    </row>
    <row r="385" spans="11:14" ht="13.2" x14ac:dyDescent="0.25">
      <c r="K385" s="6"/>
      <c r="L385" s="6"/>
      <c r="M385" s="6"/>
      <c r="N385" s="6"/>
    </row>
    <row r="386" spans="11:14" ht="13.2" x14ac:dyDescent="0.25">
      <c r="K386" s="6"/>
      <c r="L386" s="6"/>
      <c r="M386" s="6"/>
      <c r="N386" s="6"/>
    </row>
    <row r="387" spans="11:14" ht="13.2" x14ac:dyDescent="0.25">
      <c r="K387" s="6"/>
      <c r="L387" s="6"/>
      <c r="M387" s="6"/>
      <c r="N387" s="6"/>
    </row>
    <row r="388" spans="11:14" ht="13.2" x14ac:dyDescent="0.25">
      <c r="K388" s="6"/>
      <c r="L388" s="6"/>
      <c r="M388" s="6"/>
      <c r="N388" s="6"/>
    </row>
    <row r="389" spans="11:14" ht="13.2" x14ac:dyDescent="0.25">
      <c r="K389" s="6"/>
      <c r="L389" s="6"/>
      <c r="M389" s="6"/>
      <c r="N389" s="6"/>
    </row>
    <row r="390" spans="11:14" ht="13.2" x14ac:dyDescent="0.25">
      <c r="K390" s="6"/>
      <c r="L390" s="6"/>
      <c r="M390" s="6"/>
      <c r="N390" s="6"/>
    </row>
    <row r="391" spans="11:14" ht="13.2" x14ac:dyDescent="0.25">
      <c r="K391" s="6"/>
      <c r="L391" s="6"/>
      <c r="M391" s="6"/>
      <c r="N391" s="6"/>
    </row>
    <row r="392" spans="11:14" ht="13.2" x14ac:dyDescent="0.25">
      <c r="K392" s="6"/>
      <c r="L392" s="6"/>
      <c r="M392" s="6"/>
      <c r="N392" s="6"/>
    </row>
    <row r="393" spans="11:14" ht="13.2" x14ac:dyDescent="0.25">
      <c r="K393" s="6"/>
      <c r="L393" s="6"/>
      <c r="M393" s="6"/>
      <c r="N393" s="6"/>
    </row>
    <row r="394" spans="11:14" ht="13.2" x14ac:dyDescent="0.25">
      <c r="K394" s="6"/>
      <c r="L394" s="6"/>
      <c r="M394" s="6"/>
      <c r="N394" s="6"/>
    </row>
    <row r="395" spans="11:14" ht="13.2" x14ac:dyDescent="0.25">
      <c r="K395" s="6"/>
      <c r="L395" s="6"/>
      <c r="M395" s="6"/>
      <c r="N395" s="6"/>
    </row>
    <row r="396" spans="11:14" ht="13.2" x14ac:dyDescent="0.25">
      <c r="K396" s="6"/>
      <c r="L396" s="6"/>
      <c r="M396" s="6"/>
      <c r="N396" s="6"/>
    </row>
    <row r="397" spans="11:14" ht="13.2" x14ac:dyDescent="0.25">
      <c r="K397" s="6"/>
      <c r="L397" s="6"/>
      <c r="M397" s="6"/>
      <c r="N397" s="6"/>
    </row>
    <row r="398" spans="11:14" ht="13.2" x14ac:dyDescent="0.25">
      <c r="K398" s="6"/>
      <c r="L398" s="6"/>
      <c r="M398" s="6"/>
      <c r="N398" s="6"/>
    </row>
    <row r="399" spans="11:14" ht="13.2" x14ac:dyDescent="0.25">
      <c r="K399" s="6"/>
      <c r="L399" s="6"/>
      <c r="M399" s="6"/>
      <c r="N399" s="6"/>
    </row>
    <row r="400" spans="11:14" ht="13.2" x14ac:dyDescent="0.25">
      <c r="K400" s="6"/>
      <c r="L400" s="6"/>
      <c r="M400" s="6"/>
      <c r="N400" s="6"/>
    </row>
    <row r="401" spans="11:14" ht="13.2" x14ac:dyDescent="0.25">
      <c r="K401" s="6"/>
      <c r="L401" s="6"/>
      <c r="M401" s="6"/>
      <c r="N401" s="6"/>
    </row>
    <row r="402" spans="11:14" ht="13.2" x14ac:dyDescent="0.25">
      <c r="K402" s="6"/>
      <c r="L402" s="6"/>
      <c r="M402" s="6"/>
      <c r="N402" s="6"/>
    </row>
    <row r="403" spans="11:14" ht="13.2" x14ac:dyDescent="0.25">
      <c r="K403" s="6"/>
      <c r="L403" s="6"/>
      <c r="M403" s="6"/>
      <c r="N403" s="6"/>
    </row>
    <row r="404" spans="11:14" ht="13.2" x14ac:dyDescent="0.25">
      <c r="K404" s="6"/>
      <c r="L404" s="6"/>
      <c r="M404" s="6"/>
      <c r="N404" s="6"/>
    </row>
    <row r="405" spans="11:14" ht="13.2" x14ac:dyDescent="0.25">
      <c r="K405" s="6"/>
      <c r="L405" s="6"/>
      <c r="M405" s="6"/>
      <c r="N405" s="6"/>
    </row>
    <row r="406" spans="11:14" ht="13.2" x14ac:dyDescent="0.25">
      <c r="K406" s="6"/>
      <c r="L406" s="6"/>
      <c r="M406" s="6"/>
      <c r="N406" s="6"/>
    </row>
    <row r="407" spans="11:14" ht="13.2" x14ac:dyDescent="0.25">
      <c r="K407" s="6"/>
      <c r="L407" s="6"/>
      <c r="M407" s="6"/>
      <c r="N407" s="6"/>
    </row>
    <row r="408" spans="11:14" ht="13.2" x14ac:dyDescent="0.25">
      <c r="K408" s="6"/>
      <c r="L408" s="6"/>
      <c r="M408" s="6"/>
      <c r="N408" s="6"/>
    </row>
    <row r="409" spans="11:14" ht="13.2" x14ac:dyDescent="0.25">
      <c r="K409" s="6"/>
      <c r="L409" s="6"/>
      <c r="M409" s="6"/>
      <c r="N409" s="6"/>
    </row>
    <row r="410" spans="11:14" ht="13.2" x14ac:dyDescent="0.25">
      <c r="K410" s="6"/>
      <c r="L410" s="6"/>
      <c r="M410" s="6"/>
      <c r="N410" s="6"/>
    </row>
    <row r="411" spans="11:14" ht="13.2" x14ac:dyDescent="0.25">
      <c r="K411" s="6"/>
      <c r="L411" s="6"/>
      <c r="M411" s="6"/>
      <c r="N411" s="6"/>
    </row>
    <row r="412" spans="11:14" ht="13.2" x14ac:dyDescent="0.25">
      <c r="K412" s="6"/>
      <c r="L412" s="6"/>
      <c r="M412" s="6"/>
      <c r="N412" s="6"/>
    </row>
    <row r="413" spans="11:14" ht="13.2" x14ac:dyDescent="0.25">
      <c r="K413" s="6"/>
      <c r="L413" s="6"/>
      <c r="M413" s="6"/>
      <c r="N413" s="6"/>
    </row>
    <row r="414" spans="11:14" ht="13.2" x14ac:dyDescent="0.25">
      <c r="K414" s="6"/>
      <c r="L414" s="6"/>
      <c r="M414" s="6"/>
      <c r="N414" s="6"/>
    </row>
    <row r="415" spans="11:14" ht="13.2" x14ac:dyDescent="0.25">
      <c r="K415" s="6"/>
      <c r="L415" s="6"/>
      <c r="M415" s="6"/>
      <c r="N415" s="6"/>
    </row>
    <row r="416" spans="11:14" ht="13.2" x14ac:dyDescent="0.25">
      <c r="K416" s="6"/>
      <c r="L416" s="6"/>
      <c r="M416" s="6"/>
      <c r="N416" s="6"/>
    </row>
    <row r="417" spans="11:14" ht="13.2" x14ac:dyDescent="0.25">
      <c r="K417" s="6"/>
      <c r="L417" s="6"/>
      <c r="M417" s="6"/>
      <c r="N417" s="6"/>
    </row>
    <row r="418" spans="11:14" ht="13.2" x14ac:dyDescent="0.25">
      <c r="K418" s="6"/>
      <c r="L418" s="6"/>
      <c r="M418" s="6"/>
      <c r="N418" s="6"/>
    </row>
    <row r="419" spans="11:14" ht="13.2" x14ac:dyDescent="0.25">
      <c r="K419" s="6"/>
      <c r="L419" s="6"/>
      <c r="M419" s="6"/>
      <c r="N419" s="6"/>
    </row>
    <row r="420" spans="11:14" ht="13.2" x14ac:dyDescent="0.25">
      <c r="K420" s="6"/>
      <c r="L420" s="6"/>
      <c r="M420" s="6"/>
      <c r="N420" s="6"/>
    </row>
    <row r="421" spans="11:14" ht="13.2" x14ac:dyDescent="0.25">
      <c r="K421" s="6"/>
      <c r="L421" s="6"/>
      <c r="M421" s="6"/>
      <c r="N421" s="6"/>
    </row>
    <row r="422" spans="11:14" ht="13.2" x14ac:dyDescent="0.25">
      <c r="K422" s="6"/>
      <c r="L422" s="6"/>
      <c r="M422" s="6"/>
      <c r="N422" s="6"/>
    </row>
    <row r="423" spans="11:14" ht="13.2" x14ac:dyDescent="0.25">
      <c r="K423" s="6"/>
      <c r="L423" s="6"/>
      <c r="M423" s="6"/>
      <c r="N423" s="6"/>
    </row>
    <row r="424" spans="11:14" ht="13.2" x14ac:dyDescent="0.25">
      <c r="K424" s="6"/>
      <c r="L424" s="6"/>
      <c r="M424" s="6"/>
      <c r="N424" s="6"/>
    </row>
    <row r="425" spans="11:14" ht="13.2" x14ac:dyDescent="0.25">
      <c r="K425" s="6"/>
      <c r="L425" s="6"/>
      <c r="M425" s="6"/>
      <c r="N425" s="6"/>
    </row>
    <row r="426" spans="11:14" ht="13.2" x14ac:dyDescent="0.25">
      <c r="K426" s="6"/>
      <c r="L426" s="6"/>
      <c r="M426" s="6"/>
      <c r="N426" s="6"/>
    </row>
    <row r="427" spans="11:14" ht="13.2" x14ac:dyDescent="0.25">
      <c r="K427" s="6"/>
      <c r="L427" s="6"/>
      <c r="M427" s="6"/>
      <c r="N427" s="6"/>
    </row>
    <row r="428" spans="11:14" ht="13.2" x14ac:dyDescent="0.25">
      <c r="K428" s="6"/>
      <c r="L428" s="6"/>
      <c r="M428" s="6"/>
      <c r="N428" s="6"/>
    </row>
    <row r="429" spans="11:14" ht="13.2" x14ac:dyDescent="0.25">
      <c r="K429" s="6"/>
      <c r="L429" s="6"/>
      <c r="M429" s="6"/>
      <c r="N429" s="6"/>
    </row>
    <row r="430" spans="11:14" ht="13.2" x14ac:dyDescent="0.25">
      <c r="K430" s="6"/>
      <c r="L430" s="6"/>
      <c r="M430" s="6"/>
      <c r="N430" s="6"/>
    </row>
    <row r="431" spans="11:14" ht="13.2" x14ac:dyDescent="0.25">
      <c r="K431" s="6"/>
      <c r="L431" s="6"/>
      <c r="M431" s="6"/>
      <c r="N431" s="6"/>
    </row>
    <row r="432" spans="11:14" ht="13.2" x14ac:dyDescent="0.25">
      <c r="K432" s="6"/>
      <c r="L432" s="6"/>
      <c r="M432" s="6"/>
      <c r="N432" s="6"/>
    </row>
    <row r="433" spans="11:14" ht="13.2" x14ac:dyDescent="0.25">
      <c r="K433" s="6"/>
      <c r="L433" s="6"/>
      <c r="M433" s="6"/>
      <c r="N433" s="6"/>
    </row>
    <row r="434" spans="11:14" ht="13.2" x14ac:dyDescent="0.25">
      <c r="K434" s="6"/>
      <c r="L434" s="6"/>
      <c r="M434" s="6"/>
      <c r="N434" s="6"/>
    </row>
    <row r="435" spans="11:14" ht="13.2" x14ac:dyDescent="0.25">
      <c r="K435" s="6"/>
      <c r="L435" s="6"/>
      <c r="M435" s="6"/>
      <c r="N435" s="6"/>
    </row>
    <row r="436" spans="11:14" ht="13.2" x14ac:dyDescent="0.25">
      <c r="K436" s="6"/>
      <c r="L436" s="6"/>
      <c r="M436" s="6"/>
      <c r="N436" s="6"/>
    </row>
    <row r="437" spans="11:14" ht="13.2" x14ac:dyDescent="0.25">
      <c r="K437" s="6"/>
      <c r="L437" s="6"/>
      <c r="M437" s="6"/>
      <c r="N437" s="6"/>
    </row>
    <row r="438" spans="11:14" ht="13.2" x14ac:dyDescent="0.25">
      <c r="K438" s="6"/>
      <c r="L438" s="6"/>
      <c r="M438" s="6"/>
      <c r="N438" s="6"/>
    </row>
    <row r="439" spans="11:14" ht="13.2" x14ac:dyDescent="0.25">
      <c r="K439" s="6"/>
      <c r="L439" s="6"/>
      <c r="M439" s="6"/>
      <c r="N439" s="6"/>
    </row>
    <row r="440" spans="11:14" ht="13.2" x14ac:dyDescent="0.25">
      <c r="K440" s="6"/>
      <c r="L440" s="6"/>
      <c r="M440" s="6"/>
      <c r="N440" s="6"/>
    </row>
    <row r="441" spans="11:14" ht="13.2" x14ac:dyDescent="0.25">
      <c r="K441" s="6"/>
      <c r="L441" s="6"/>
      <c r="M441" s="6"/>
      <c r="N441" s="6"/>
    </row>
    <row r="442" spans="11:14" ht="13.2" x14ac:dyDescent="0.25">
      <c r="K442" s="6"/>
      <c r="L442" s="6"/>
      <c r="M442" s="6"/>
      <c r="N442" s="6"/>
    </row>
    <row r="443" spans="11:14" ht="13.2" x14ac:dyDescent="0.25">
      <c r="K443" s="6"/>
      <c r="L443" s="6"/>
      <c r="M443" s="6"/>
      <c r="N443" s="6"/>
    </row>
    <row r="444" spans="11:14" ht="13.2" x14ac:dyDescent="0.25">
      <c r="K444" s="6"/>
      <c r="L444" s="6"/>
      <c r="M444" s="6"/>
      <c r="N444" s="6"/>
    </row>
    <row r="445" spans="11:14" ht="13.2" x14ac:dyDescent="0.25">
      <c r="K445" s="6"/>
      <c r="L445" s="6"/>
      <c r="M445" s="6"/>
      <c r="N445" s="6"/>
    </row>
    <row r="446" spans="11:14" ht="13.2" x14ac:dyDescent="0.25">
      <c r="K446" s="6"/>
      <c r="L446" s="6"/>
      <c r="M446" s="6"/>
      <c r="N446" s="6"/>
    </row>
    <row r="447" spans="11:14" ht="13.2" x14ac:dyDescent="0.25">
      <c r="K447" s="6"/>
      <c r="L447" s="6"/>
      <c r="M447" s="6"/>
      <c r="N447" s="6"/>
    </row>
    <row r="448" spans="11:14" ht="13.2" x14ac:dyDescent="0.25">
      <c r="K448" s="6"/>
      <c r="L448" s="6"/>
      <c r="M448" s="6"/>
      <c r="N448" s="6"/>
    </row>
    <row r="449" spans="11:14" ht="13.2" x14ac:dyDescent="0.25">
      <c r="K449" s="6"/>
      <c r="L449" s="6"/>
      <c r="M449" s="6"/>
      <c r="N449" s="6"/>
    </row>
    <row r="450" spans="11:14" ht="13.2" x14ac:dyDescent="0.25">
      <c r="K450" s="6"/>
      <c r="L450" s="6"/>
      <c r="M450" s="6"/>
      <c r="N450" s="6"/>
    </row>
    <row r="451" spans="11:14" ht="13.2" x14ac:dyDescent="0.25">
      <c r="K451" s="6"/>
      <c r="L451" s="6"/>
      <c r="M451" s="6"/>
      <c r="N451" s="6"/>
    </row>
    <row r="452" spans="11:14" ht="13.2" x14ac:dyDescent="0.25">
      <c r="K452" s="6"/>
      <c r="L452" s="6"/>
      <c r="M452" s="6"/>
      <c r="N452" s="6"/>
    </row>
    <row r="453" spans="11:14" ht="13.2" x14ac:dyDescent="0.25">
      <c r="K453" s="6"/>
      <c r="L453" s="6"/>
      <c r="M453" s="6"/>
      <c r="N453" s="6"/>
    </row>
    <row r="454" spans="11:14" ht="13.2" x14ac:dyDescent="0.25">
      <c r="K454" s="6"/>
      <c r="L454" s="6"/>
      <c r="M454" s="6"/>
      <c r="N454" s="6"/>
    </row>
    <row r="455" spans="11:14" ht="13.2" x14ac:dyDescent="0.25">
      <c r="K455" s="6"/>
      <c r="L455" s="6"/>
      <c r="M455" s="6"/>
      <c r="N455" s="6"/>
    </row>
    <row r="456" spans="11:14" ht="13.2" x14ac:dyDescent="0.25">
      <c r="K456" s="6"/>
      <c r="L456" s="6"/>
      <c r="M456" s="6"/>
      <c r="N456" s="6"/>
    </row>
    <row r="457" spans="11:14" ht="13.2" x14ac:dyDescent="0.25">
      <c r="K457" s="6"/>
      <c r="L457" s="6"/>
      <c r="M457" s="6"/>
      <c r="N457" s="6"/>
    </row>
    <row r="458" spans="11:14" ht="13.2" x14ac:dyDescent="0.25">
      <c r="K458" s="6"/>
      <c r="L458" s="6"/>
      <c r="M458" s="6"/>
      <c r="N458" s="6"/>
    </row>
    <row r="459" spans="11:14" ht="13.2" x14ac:dyDescent="0.25">
      <c r="K459" s="6"/>
      <c r="L459" s="6"/>
      <c r="M459" s="6"/>
      <c r="N459" s="6"/>
    </row>
    <row r="460" spans="11:14" ht="13.2" x14ac:dyDescent="0.25">
      <c r="K460" s="6"/>
      <c r="L460" s="6"/>
      <c r="M460" s="6"/>
      <c r="N460" s="6"/>
    </row>
    <row r="461" spans="11:14" ht="13.2" x14ac:dyDescent="0.25">
      <c r="K461" s="6"/>
      <c r="L461" s="6"/>
      <c r="M461" s="6"/>
      <c r="N461" s="6"/>
    </row>
    <row r="462" spans="11:14" ht="13.2" x14ac:dyDescent="0.25">
      <c r="K462" s="6"/>
      <c r="L462" s="6"/>
      <c r="M462" s="6"/>
      <c r="N462" s="6"/>
    </row>
    <row r="463" spans="11:14" ht="13.2" x14ac:dyDescent="0.25">
      <c r="K463" s="6"/>
      <c r="L463" s="6"/>
      <c r="M463" s="6"/>
      <c r="N463" s="6"/>
    </row>
    <row r="464" spans="11:14" ht="13.2" x14ac:dyDescent="0.25">
      <c r="K464" s="6"/>
      <c r="L464" s="6"/>
      <c r="M464" s="6"/>
      <c r="N464" s="6"/>
    </row>
    <row r="465" spans="11:14" ht="13.2" x14ac:dyDescent="0.25">
      <c r="K465" s="6"/>
      <c r="L465" s="6"/>
      <c r="M465" s="6"/>
      <c r="N465" s="6"/>
    </row>
    <row r="466" spans="11:14" ht="13.2" x14ac:dyDescent="0.25">
      <c r="K466" s="6"/>
      <c r="L466" s="6"/>
      <c r="M466" s="6"/>
      <c r="N466" s="6"/>
    </row>
    <row r="467" spans="11:14" ht="13.2" x14ac:dyDescent="0.25">
      <c r="K467" s="6"/>
      <c r="L467" s="6"/>
      <c r="M467" s="6"/>
      <c r="N467" s="6"/>
    </row>
    <row r="468" spans="11:14" ht="13.2" x14ac:dyDescent="0.25">
      <c r="K468" s="6"/>
      <c r="L468" s="6"/>
      <c r="M468" s="6"/>
      <c r="N468" s="6"/>
    </row>
    <row r="469" spans="11:14" ht="13.2" x14ac:dyDescent="0.25">
      <c r="K469" s="6"/>
      <c r="L469" s="6"/>
      <c r="M469" s="6"/>
      <c r="N469" s="6"/>
    </row>
    <row r="470" spans="11:14" ht="13.2" x14ac:dyDescent="0.25">
      <c r="K470" s="6"/>
      <c r="L470" s="6"/>
      <c r="M470" s="6"/>
      <c r="N470" s="6"/>
    </row>
    <row r="471" spans="11:14" ht="13.2" x14ac:dyDescent="0.25">
      <c r="K471" s="6"/>
      <c r="L471" s="6"/>
      <c r="M471" s="6"/>
      <c r="N471" s="6"/>
    </row>
    <row r="472" spans="11:14" ht="13.2" x14ac:dyDescent="0.25">
      <c r="K472" s="6"/>
      <c r="L472" s="6"/>
      <c r="M472" s="6"/>
      <c r="N472" s="6"/>
    </row>
    <row r="473" spans="11:14" ht="13.2" x14ac:dyDescent="0.25">
      <c r="K473" s="6"/>
      <c r="L473" s="6"/>
      <c r="M473" s="6"/>
      <c r="N473" s="6"/>
    </row>
    <row r="474" spans="11:14" ht="13.2" x14ac:dyDescent="0.25">
      <c r="K474" s="6"/>
      <c r="L474" s="6"/>
      <c r="M474" s="6"/>
      <c r="N474" s="6"/>
    </row>
    <row r="475" spans="11:14" ht="13.2" x14ac:dyDescent="0.25">
      <c r="K475" s="6"/>
      <c r="L475" s="6"/>
      <c r="M475" s="6"/>
      <c r="N475" s="6"/>
    </row>
    <row r="476" spans="11:14" ht="13.2" x14ac:dyDescent="0.25">
      <c r="K476" s="6"/>
      <c r="L476" s="6"/>
      <c r="M476" s="6"/>
      <c r="N476" s="6"/>
    </row>
    <row r="477" spans="11:14" ht="13.2" x14ac:dyDescent="0.25">
      <c r="K477" s="6"/>
      <c r="L477" s="6"/>
      <c r="M477" s="6"/>
      <c r="N477" s="6"/>
    </row>
    <row r="478" spans="11:14" ht="13.2" x14ac:dyDescent="0.25">
      <c r="K478" s="6"/>
      <c r="L478" s="6"/>
      <c r="M478" s="6"/>
      <c r="N478" s="6"/>
    </row>
    <row r="479" spans="11:14" ht="13.2" x14ac:dyDescent="0.25">
      <c r="K479" s="6"/>
      <c r="L479" s="6"/>
      <c r="M479" s="6"/>
      <c r="N479" s="6"/>
    </row>
    <row r="480" spans="11:14" ht="13.2" x14ac:dyDescent="0.25">
      <c r="K480" s="6"/>
      <c r="L480" s="6"/>
      <c r="M480" s="6"/>
      <c r="N480" s="6"/>
    </row>
    <row r="481" spans="11:14" ht="13.2" x14ac:dyDescent="0.25">
      <c r="K481" s="6"/>
      <c r="L481" s="6"/>
      <c r="M481" s="6"/>
      <c r="N481" s="6"/>
    </row>
    <row r="482" spans="11:14" ht="13.2" x14ac:dyDescent="0.25">
      <c r="K482" s="6"/>
      <c r="L482" s="6"/>
      <c r="M482" s="6"/>
      <c r="N482" s="6"/>
    </row>
    <row r="483" spans="11:14" ht="13.2" x14ac:dyDescent="0.25">
      <c r="K483" s="6"/>
      <c r="L483" s="6"/>
      <c r="M483" s="6"/>
      <c r="N483" s="6"/>
    </row>
    <row r="484" spans="11:14" ht="13.2" x14ac:dyDescent="0.25">
      <c r="K484" s="6"/>
      <c r="L484" s="6"/>
      <c r="M484" s="6"/>
      <c r="N484" s="6"/>
    </row>
    <row r="485" spans="11:14" ht="13.2" x14ac:dyDescent="0.25">
      <c r="K485" s="6"/>
      <c r="L485" s="6"/>
      <c r="M485" s="6"/>
      <c r="N485" s="6"/>
    </row>
    <row r="486" spans="11:14" ht="13.2" x14ac:dyDescent="0.25">
      <c r="K486" s="6"/>
      <c r="L486" s="6"/>
      <c r="M486" s="6"/>
      <c r="N486" s="6"/>
    </row>
    <row r="487" spans="11:14" ht="13.2" x14ac:dyDescent="0.25">
      <c r="K487" s="6"/>
      <c r="L487" s="6"/>
      <c r="M487" s="6"/>
      <c r="N487" s="6"/>
    </row>
    <row r="488" spans="11:14" ht="13.2" x14ac:dyDescent="0.25">
      <c r="K488" s="6"/>
      <c r="L488" s="6"/>
      <c r="M488" s="6"/>
      <c r="N488" s="6"/>
    </row>
    <row r="489" spans="11:14" ht="13.2" x14ac:dyDescent="0.25">
      <c r="K489" s="6"/>
      <c r="L489" s="6"/>
      <c r="M489" s="6"/>
      <c r="N489" s="6"/>
    </row>
    <row r="490" spans="11:14" ht="13.2" x14ac:dyDescent="0.25">
      <c r="K490" s="6"/>
      <c r="L490" s="6"/>
      <c r="M490" s="6"/>
      <c r="N490" s="6"/>
    </row>
    <row r="491" spans="11:14" ht="13.2" x14ac:dyDescent="0.25">
      <c r="K491" s="6"/>
      <c r="L491" s="6"/>
      <c r="M491" s="6"/>
      <c r="N491" s="6"/>
    </row>
    <row r="492" spans="11:14" ht="13.2" x14ac:dyDescent="0.25">
      <c r="K492" s="6"/>
      <c r="L492" s="6"/>
      <c r="M492" s="6"/>
      <c r="N492" s="6"/>
    </row>
    <row r="493" spans="11:14" ht="13.2" x14ac:dyDescent="0.25">
      <c r="K493" s="6"/>
      <c r="L493" s="6"/>
      <c r="M493" s="6"/>
      <c r="N493" s="6"/>
    </row>
    <row r="494" spans="11:14" ht="13.2" x14ac:dyDescent="0.25">
      <c r="K494" s="6"/>
      <c r="L494" s="6"/>
      <c r="M494" s="6"/>
      <c r="N494" s="6"/>
    </row>
    <row r="495" spans="11:14" ht="13.2" x14ac:dyDescent="0.25">
      <c r="K495" s="6"/>
      <c r="L495" s="6"/>
      <c r="M495" s="6"/>
      <c r="N495" s="6"/>
    </row>
    <row r="496" spans="11:14" ht="13.2" x14ac:dyDescent="0.25">
      <c r="K496" s="6"/>
      <c r="L496" s="6"/>
      <c r="M496" s="6"/>
      <c r="N496" s="6"/>
    </row>
    <row r="497" spans="11:14" ht="13.2" x14ac:dyDescent="0.25">
      <c r="K497" s="6"/>
      <c r="L497" s="6"/>
      <c r="M497" s="6"/>
      <c r="N497" s="6"/>
    </row>
    <row r="498" spans="11:14" ht="13.2" x14ac:dyDescent="0.25">
      <c r="K498" s="6"/>
      <c r="L498" s="6"/>
      <c r="M498" s="6"/>
      <c r="N498" s="6"/>
    </row>
    <row r="499" spans="11:14" ht="13.2" x14ac:dyDescent="0.25">
      <c r="K499" s="6"/>
      <c r="L499" s="6"/>
      <c r="M499" s="6"/>
      <c r="N499" s="6"/>
    </row>
    <row r="500" spans="11:14" ht="13.2" x14ac:dyDescent="0.25">
      <c r="K500" s="6"/>
      <c r="L500" s="6"/>
      <c r="M500" s="6"/>
      <c r="N500" s="6"/>
    </row>
    <row r="501" spans="11:14" ht="13.2" x14ac:dyDescent="0.25">
      <c r="K501" s="6"/>
      <c r="L501" s="6"/>
      <c r="M501" s="6"/>
      <c r="N501" s="6"/>
    </row>
    <row r="502" spans="11:14" ht="13.2" x14ac:dyDescent="0.25">
      <c r="K502" s="6"/>
      <c r="L502" s="6"/>
      <c r="M502" s="6"/>
      <c r="N502" s="6"/>
    </row>
    <row r="503" spans="11:14" ht="13.2" x14ac:dyDescent="0.25">
      <c r="K503" s="6"/>
      <c r="L503" s="6"/>
      <c r="M503" s="6"/>
      <c r="N503" s="6"/>
    </row>
    <row r="504" spans="11:14" ht="13.2" x14ac:dyDescent="0.25">
      <c r="K504" s="6"/>
      <c r="L504" s="6"/>
      <c r="M504" s="6"/>
      <c r="N504" s="6"/>
    </row>
    <row r="505" spans="11:14" ht="13.2" x14ac:dyDescent="0.25">
      <c r="K505" s="6"/>
      <c r="L505" s="6"/>
      <c r="M505" s="6"/>
      <c r="N505" s="6"/>
    </row>
    <row r="506" spans="11:14" ht="13.2" x14ac:dyDescent="0.25">
      <c r="K506" s="6"/>
      <c r="L506" s="6"/>
      <c r="M506" s="6"/>
      <c r="N506" s="6"/>
    </row>
    <row r="507" spans="11:14" ht="13.2" x14ac:dyDescent="0.25">
      <c r="K507" s="6"/>
      <c r="L507" s="6"/>
      <c r="M507" s="6"/>
      <c r="N507" s="6"/>
    </row>
    <row r="508" spans="11:14" ht="13.2" x14ac:dyDescent="0.25">
      <c r="K508" s="6"/>
      <c r="L508" s="6"/>
      <c r="M508" s="6"/>
      <c r="N508" s="6"/>
    </row>
    <row r="509" spans="11:14" ht="13.2" x14ac:dyDescent="0.25">
      <c r="K509" s="6"/>
      <c r="L509" s="6"/>
      <c r="M509" s="6"/>
      <c r="N509" s="6"/>
    </row>
    <row r="510" spans="11:14" ht="13.2" x14ac:dyDescent="0.25">
      <c r="K510" s="6"/>
      <c r="L510" s="6"/>
      <c r="M510" s="6"/>
      <c r="N510" s="6"/>
    </row>
    <row r="511" spans="11:14" ht="13.2" x14ac:dyDescent="0.25">
      <c r="K511" s="6"/>
      <c r="L511" s="6"/>
      <c r="M511" s="6"/>
      <c r="N511" s="6"/>
    </row>
    <row r="512" spans="11:14" ht="13.2" x14ac:dyDescent="0.25">
      <c r="K512" s="6"/>
      <c r="L512" s="6"/>
      <c r="M512" s="6"/>
      <c r="N512" s="6"/>
    </row>
    <row r="513" spans="11:14" ht="13.2" x14ac:dyDescent="0.25">
      <c r="K513" s="6"/>
      <c r="L513" s="6"/>
      <c r="M513" s="6"/>
      <c r="N513" s="6"/>
    </row>
    <row r="514" spans="11:14" ht="13.2" x14ac:dyDescent="0.25">
      <c r="K514" s="6"/>
      <c r="L514" s="6"/>
      <c r="M514" s="6"/>
      <c r="N514" s="6"/>
    </row>
    <row r="515" spans="11:14" ht="13.2" x14ac:dyDescent="0.25">
      <c r="K515" s="6"/>
      <c r="L515" s="6"/>
      <c r="M515" s="6"/>
      <c r="N515" s="6"/>
    </row>
    <row r="516" spans="11:14" ht="13.2" x14ac:dyDescent="0.25">
      <c r="K516" s="6"/>
      <c r="L516" s="6"/>
      <c r="M516" s="6"/>
      <c r="N516" s="6"/>
    </row>
    <row r="517" spans="11:14" ht="13.2" x14ac:dyDescent="0.25">
      <c r="K517" s="6"/>
      <c r="L517" s="6"/>
      <c r="M517" s="6"/>
      <c r="N517" s="6"/>
    </row>
    <row r="518" spans="11:14" ht="13.2" x14ac:dyDescent="0.25">
      <c r="K518" s="6"/>
      <c r="L518" s="6"/>
      <c r="M518" s="6"/>
      <c r="N518" s="6"/>
    </row>
    <row r="519" spans="11:14" ht="13.2" x14ac:dyDescent="0.25">
      <c r="K519" s="6"/>
      <c r="L519" s="6"/>
      <c r="M519" s="6"/>
      <c r="N519" s="6"/>
    </row>
    <row r="520" spans="11:14" ht="13.2" x14ac:dyDescent="0.25">
      <c r="K520" s="6"/>
      <c r="L520" s="6"/>
      <c r="M520" s="6"/>
      <c r="N520" s="6"/>
    </row>
    <row r="521" spans="11:14" ht="13.2" x14ac:dyDescent="0.25">
      <c r="K521" s="6"/>
      <c r="L521" s="6"/>
      <c r="M521" s="6"/>
      <c r="N521" s="6"/>
    </row>
    <row r="522" spans="11:14" ht="13.2" x14ac:dyDescent="0.25">
      <c r="K522" s="6"/>
      <c r="L522" s="6"/>
      <c r="M522" s="6"/>
      <c r="N522" s="6"/>
    </row>
    <row r="523" spans="11:14" ht="13.2" x14ac:dyDescent="0.25">
      <c r="K523" s="6"/>
      <c r="L523" s="6"/>
      <c r="M523" s="6"/>
      <c r="N523" s="6"/>
    </row>
    <row r="524" spans="11:14" ht="13.2" x14ac:dyDescent="0.25">
      <c r="K524" s="6"/>
      <c r="L524" s="6"/>
      <c r="M524" s="6"/>
      <c r="N524" s="6"/>
    </row>
    <row r="525" spans="11:14" ht="13.2" x14ac:dyDescent="0.25">
      <c r="K525" s="6"/>
      <c r="L525" s="6"/>
      <c r="M525" s="6"/>
      <c r="N525" s="6"/>
    </row>
    <row r="526" spans="11:14" ht="13.2" x14ac:dyDescent="0.25">
      <c r="K526" s="6"/>
      <c r="L526" s="6"/>
      <c r="M526" s="6"/>
      <c r="N526" s="6"/>
    </row>
    <row r="527" spans="11:14" ht="13.2" x14ac:dyDescent="0.25">
      <c r="K527" s="6"/>
      <c r="L527" s="6"/>
      <c r="M527" s="6"/>
      <c r="N527" s="6"/>
    </row>
    <row r="528" spans="11:14" ht="13.2" x14ac:dyDescent="0.25">
      <c r="K528" s="6"/>
      <c r="L528" s="6"/>
      <c r="M528" s="6"/>
      <c r="N528" s="6"/>
    </row>
    <row r="529" spans="11:14" ht="13.2" x14ac:dyDescent="0.25">
      <c r="K529" s="6"/>
      <c r="L529" s="6"/>
      <c r="M529" s="6"/>
      <c r="N529" s="6"/>
    </row>
    <row r="530" spans="11:14" ht="13.2" x14ac:dyDescent="0.25">
      <c r="K530" s="6"/>
      <c r="L530" s="6"/>
      <c r="M530" s="6"/>
      <c r="N530" s="6"/>
    </row>
    <row r="531" spans="11:14" ht="13.2" x14ac:dyDescent="0.25">
      <c r="K531" s="6"/>
      <c r="L531" s="6"/>
      <c r="M531" s="6"/>
      <c r="N531" s="6"/>
    </row>
    <row r="532" spans="11:14" ht="13.2" x14ac:dyDescent="0.25">
      <c r="K532" s="6"/>
      <c r="L532" s="6"/>
      <c r="M532" s="6"/>
      <c r="N532" s="6"/>
    </row>
    <row r="533" spans="11:14" ht="13.2" x14ac:dyDescent="0.25">
      <c r="K533" s="6"/>
      <c r="L533" s="6"/>
      <c r="M533" s="6"/>
      <c r="N533" s="6"/>
    </row>
    <row r="534" spans="11:14" ht="13.2" x14ac:dyDescent="0.25">
      <c r="K534" s="6"/>
      <c r="L534" s="6"/>
      <c r="M534" s="6"/>
      <c r="N534" s="6"/>
    </row>
    <row r="535" spans="11:14" ht="13.2" x14ac:dyDescent="0.25">
      <c r="K535" s="6"/>
      <c r="L535" s="6"/>
      <c r="M535" s="6"/>
      <c r="N535" s="6"/>
    </row>
    <row r="536" spans="11:14" ht="13.2" x14ac:dyDescent="0.25">
      <c r="K536" s="6"/>
      <c r="L536" s="6"/>
      <c r="M536" s="6"/>
      <c r="N536" s="6"/>
    </row>
    <row r="537" spans="11:14" ht="13.2" x14ac:dyDescent="0.25">
      <c r="K537" s="6"/>
      <c r="L537" s="6"/>
      <c r="M537" s="6"/>
      <c r="N537" s="6"/>
    </row>
    <row r="538" spans="11:14" ht="13.2" x14ac:dyDescent="0.25">
      <c r="K538" s="6"/>
      <c r="L538" s="6"/>
      <c r="M538" s="6"/>
      <c r="N538" s="6"/>
    </row>
    <row r="539" spans="11:14" ht="13.2" x14ac:dyDescent="0.25">
      <c r="K539" s="6"/>
      <c r="L539" s="6"/>
      <c r="M539" s="6"/>
      <c r="N539" s="6"/>
    </row>
    <row r="540" spans="11:14" ht="13.2" x14ac:dyDescent="0.25">
      <c r="K540" s="6"/>
      <c r="L540" s="6"/>
      <c r="M540" s="6"/>
      <c r="N540" s="6"/>
    </row>
    <row r="541" spans="11:14" ht="13.2" x14ac:dyDescent="0.25">
      <c r="K541" s="6"/>
      <c r="L541" s="6"/>
      <c r="M541" s="6"/>
      <c r="N541" s="6"/>
    </row>
    <row r="542" spans="11:14" ht="13.2" x14ac:dyDescent="0.25">
      <c r="K542" s="6"/>
      <c r="L542" s="6"/>
      <c r="M542" s="6"/>
      <c r="N542" s="6"/>
    </row>
    <row r="543" spans="11:14" ht="13.2" x14ac:dyDescent="0.25">
      <c r="K543" s="6"/>
      <c r="L543" s="6"/>
      <c r="M543" s="6"/>
      <c r="N543" s="6"/>
    </row>
    <row r="544" spans="11:14" ht="13.2" x14ac:dyDescent="0.25">
      <c r="K544" s="6"/>
      <c r="L544" s="6"/>
      <c r="M544" s="6"/>
      <c r="N544" s="6"/>
    </row>
    <row r="545" spans="11:14" ht="13.2" x14ac:dyDescent="0.25">
      <c r="K545" s="6"/>
      <c r="L545" s="6"/>
      <c r="M545" s="6"/>
      <c r="N545" s="6"/>
    </row>
    <row r="546" spans="11:14" ht="13.2" x14ac:dyDescent="0.25">
      <c r="K546" s="6"/>
      <c r="L546" s="6"/>
      <c r="M546" s="6"/>
      <c r="N546" s="6"/>
    </row>
    <row r="547" spans="11:14" ht="13.2" x14ac:dyDescent="0.25">
      <c r="K547" s="6"/>
      <c r="L547" s="6"/>
      <c r="M547" s="6"/>
      <c r="N547" s="6"/>
    </row>
    <row r="548" spans="11:14" ht="13.2" x14ac:dyDescent="0.25">
      <c r="K548" s="6"/>
      <c r="L548" s="6"/>
      <c r="M548" s="6"/>
      <c r="N548" s="6"/>
    </row>
    <row r="549" spans="11:14" ht="13.2" x14ac:dyDescent="0.25">
      <c r="K549" s="6"/>
      <c r="L549" s="6"/>
      <c r="M549" s="6"/>
      <c r="N549" s="6"/>
    </row>
    <row r="550" spans="11:14" ht="13.2" x14ac:dyDescent="0.25">
      <c r="K550" s="6"/>
      <c r="L550" s="6"/>
      <c r="M550" s="6"/>
      <c r="N550" s="6"/>
    </row>
    <row r="551" spans="11:14" ht="13.2" x14ac:dyDescent="0.25">
      <c r="K551" s="6"/>
      <c r="L551" s="6"/>
      <c r="M551" s="6"/>
      <c r="N551" s="6"/>
    </row>
    <row r="552" spans="11:14" ht="13.2" x14ac:dyDescent="0.25">
      <c r="K552" s="6"/>
      <c r="L552" s="6"/>
      <c r="M552" s="6"/>
      <c r="N552" s="6"/>
    </row>
    <row r="553" spans="11:14" ht="13.2" x14ac:dyDescent="0.25">
      <c r="K553" s="6"/>
      <c r="L553" s="6"/>
      <c r="M553" s="6"/>
      <c r="N553" s="6"/>
    </row>
    <row r="554" spans="11:14" ht="13.2" x14ac:dyDescent="0.25">
      <c r="K554" s="6"/>
      <c r="L554" s="6"/>
      <c r="M554" s="6"/>
      <c r="N554" s="6"/>
    </row>
    <row r="555" spans="11:14" ht="13.2" x14ac:dyDescent="0.25">
      <c r="K555" s="6"/>
      <c r="L555" s="6"/>
      <c r="M555" s="6"/>
      <c r="N555" s="6"/>
    </row>
    <row r="556" spans="11:14" ht="13.2" x14ac:dyDescent="0.25">
      <c r="K556" s="6"/>
      <c r="L556" s="6"/>
      <c r="M556" s="6"/>
      <c r="N556" s="6"/>
    </row>
    <row r="557" spans="11:14" ht="13.2" x14ac:dyDescent="0.25">
      <c r="K557" s="6"/>
      <c r="L557" s="6"/>
      <c r="M557" s="6"/>
      <c r="N557" s="6"/>
    </row>
    <row r="558" spans="11:14" ht="13.2" x14ac:dyDescent="0.25">
      <c r="K558" s="6"/>
      <c r="L558" s="6"/>
      <c r="M558" s="6"/>
      <c r="N558" s="6"/>
    </row>
    <row r="559" spans="11:14" ht="13.2" x14ac:dyDescent="0.25">
      <c r="K559" s="6"/>
      <c r="L559" s="6"/>
      <c r="M559" s="6"/>
      <c r="N559" s="6"/>
    </row>
    <row r="560" spans="11:14" ht="13.2" x14ac:dyDescent="0.25">
      <c r="K560" s="6"/>
      <c r="L560" s="6"/>
      <c r="M560" s="6"/>
      <c r="N560" s="6"/>
    </row>
    <row r="561" spans="11:14" ht="13.2" x14ac:dyDescent="0.25">
      <c r="K561" s="6"/>
      <c r="L561" s="6"/>
      <c r="M561" s="6"/>
      <c r="N561" s="6"/>
    </row>
    <row r="562" spans="11:14" ht="13.2" x14ac:dyDescent="0.25">
      <c r="K562" s="6"/>
      <c r="L562" s="6"/>
      <c r="M562" s="6"/>
      <c r="N562" s="6"/>
    </row>
    <row r="563" spans="11:14" ht="13.2" x14ac:dyDescent="0.25">
      <c r="K563" s="6"/>
      <c r="L563" s="6"/>
      <c r="M563" s="6"/>
      <c r="N563" s="6"/>
    </row>
    <row r="564" spans="11:14" ht="13.2" x14ac:dyDescent="0.25">
      <c r="K564" s="6"/>
      <c r="L564" s="6"/>
      <c r="M564" s="6"/>
      <c r="N564" s="6"/>
    </row>
    <row r="565" spans="11:14" ht="13.2" x14ac:dyDescent="0.25">
      <c r="K565" s="6"/>
      <c r="L565" s="6"/>
      <c r="M565" s="6"/>
      <c r="N565" s="6"/>
    </row>
    <row r="566" spans="11:14" ht="13.2" x14ac:dyDescent="0.25">
      <c r="K566" s="6"/>
      <c r="L566" s="6"/>
      <c r="M566" s="6"/>
      <c r="N566" s="6"/>
    </row>
    <row r="567" spans="11:14" ht="13.2" x14ac:dyDescent="0.25">
      <c r="K567" s="6"/>
      <c r="L567" s="6"/>
      <c r="M567" s="6"/>
      <c r="N567" s="6"/>
    </row>
    <row r="568" spans="11:14" ht="13.2" x14ac:dyDescent="0.25">
      <c r="K568" s="6"/>
      <c r="L568" s="6"/>
      <c r="M568" s="6"/>
      <c r="N568" s="6"/>
    </row>
    <row r="569" spans="11:14" ht="13.2" x14ac:dyDescent="0.25">
      <c r="K569" s="6"/>
      <c r="L569" s="6"/>
      <c r="M569" s="6"/>
      <c r="N569" s="6"/>
    </row>
    <row r="570" spans="11:14" ht="13.2" x14ac:dyDescent="0.25">
      <c r="K570" s="6"/>
      <c r="L570" s="6"/>
      <c r="M570" s="6"/>
      <c r="N570" s="6"/>
    </row>
    <row r="571" spans="11:14" ht="13.2" x14ac:dyDescent="0.25">
      <c r="K571" s="6"/>
      <c r="L571" s="6"/>
      <c r="M571" s="6"/>
      <c r="N571" s="6"/>
    </row>
    <row r="572" spans="11:14" ht="13.2" x14ac:dyDescent="0.25">
      <c r="K572" s="6"/>
      <c r="L572" s="6"/>
      <c r="M572" s="6"/>
      <c r="N572" s="6"/>
    </row>
    <row r="573" spans="11:14" ht="13.2" x14ac:dyDescent="0.25">
      <c r="K573" s="6"/>
      <c r="L573" s="6"/>
      <c r="M573" s="6"/>
      <c r="N573" s="6"/>
    </row>
    <row r="574" spans="11:14" ht="13.2" x14ac:dyDescent="0.25">
      <c r="K574" s="6"/>
      <c r="L574" s="6"/>
      <c r="M574" s="6"/>
      <c r="N574" s="6"/>
    </row>
    <row r="575" spans="11:14" ht="13.2" x14ac:dyDescent="0.25">
      <c r="K575" s="6"/>
      <c r="L575" s="6"/>
      <c r="M575" s="6"/>
      <c r="N575" s="6"/>
    </row>
    <row r="576" spans="11:14" ht="13.2" x14ac:dyDescent="0.25">
      <c r="K576" s="6"/>
      <c r="L576" s="6"/>
      <c r="M576" s="6"/>
      <c r="N576" s="6"/>
    </row>
    <row r="577" spans="11:14" ht="13.2" x14ac:dyDescent="0.25">
      <c r="K577" s="6"/>
      <c r="L577" s="6"/>
      <c r="M577" s="6"/>
      <c r="N577" s="6"/>
    </row>
    <row r="578" spans="11:14" ht="13.2" x14ac:dyDescent="0.25">
      <c r="K578" s="6"/>
      <c r="L578" s="6"/>
      <c r="M578" s="6"/>
      <c r="N578" s="6"/>
    </row>
    <row r="579" spans="11:14" ht="13.2" x14ac:dyDescent="0.25">
      <c r="K579" s="6"/>
      <c r="L579" s="6"/>
      <c r="M579" s="6"/>
      <c r="N579" s="6"/>
    </row>
    <row r="580" spans="11:14" ht="13.2" x14ac:dyDescent="0.25">
      <c r="K580" s="6"/>
      <c r="L580" s="6"/>
      <c r="M580" s="6"/>
      <c r="N580" s="6"/>
    </row>
    <row r="581" spans="11:14" ht="13.2" x14ac:dyDescent="0.25">
      <c r="K581" s="6"/>
      <c r="L581" s="6"/>
      <c r="M581" s="6"/>
      <c r="N581" s="6"/>
    </row>
    <row r="582" spans="11:14" ht="13.2" x14ac:dyDescent="0.25">
      <c r="K582" s="6"/>
      <c r="L582" s="6"/>
      <c r="M582" s="6"/>
      <c r="N582" s="6"/>
    </row>
    <row r="583" spans="11:14" ht="13.2" x14ac:dyDescent="0.25">
      <c r="K583" s="6"/>
      <c r="L583" s="6"/>
      <c r="M583" s="6"/>
      <c r="N583" s="6"/>
    </row>
    <row r="584" spans="11:14" ht="13.2" x14ac:dyDescent="0.25">
      <c r="K584" s="6"/>
      <c r="L584" s="6"/>
      <c r="M584" s="6"/>
      <c r="N584" s="6"/>
    </row>
    <row r="585" spans="11:14" ht="13.2" x14ac:dyDescent="0.25">
      <c r="K585" s="6"/>
      <c r="L585" s="6"/>
      <c r="M585" s="6"/>
      <c r="N585" s="6"/>
    </row>
    <row r="586" spans="11:14" ht="13.2" x14ac:dyDescent="0.25">
      <c r="K586" s="6"/>
      <c r="L586" s="6"/>
      <c r="M586" s="6"/>
      <c r="N586" s="6"/>
    </row>
    <row r="587" spans="11:14" ht="13.2" x14ac:dyDescent="0.25">
      <c r="K587" s="6"/>
      <c r="L587" s="6"/>
      <c r="M587" s="6"/>
      <c r="N587" s="6"/>
    </row>
    <row r="588" spans="11:14" ht="13.2" x14ac:dyDescent="0.25">
      <c r="K588" s="6"/>
      <c r="L588" s="6"/>
      <c r="M588" s="6"/>
      <c r="N588" s="6"/>
    </row>
    <row r="589" spans="11:14" ht="13.2" x14ac:dyDescent="0.25">
      <c r="K589" s="6"/>
      <c r="L589" s="6"/>
      <c r="M589" s="6"/>
      <c r="N589" s="6"/>
    </row>
    <row r="590" spans="11:14" ht="13.2" x14ac:dyDescent="0.25">
      <c r="K590" s="6"/>
      <c r="L590" s="6"/>
      <c r="M590" s="6"/>
      <c r="N590" s="6"/>
    </row>
    <row r="591" spans="11:14" ht="13.2" x14ac:dyDescent="0.25">
      <c r="K591" s="6"/>
      <c r="L591" s="6"/>
      <c r="M591" s="6"/>
      <c r="N591" s="6"/>
    </row>
    <row r="592" spans="11:14" ht="13.2" x14ac:dyDescent="0.25">
      <c r="K592" s="6"/>
      <c r="L592" s="6"/>
      <c r="M592" s="6"/>
      <c r="N592" s="6"/>
    </row>
    <row r="593" spans="11:14" ht="13.2" x14ac:dyDescent="0.25">
      <c r="K593" s="6"/>
      <c r="L593" s="6"/>
      <c r="M593" s="6"/>
      <c r="N593" s="6"/>
    </row>
    <row r="594" spans="11:14" ht="13.2" x14ac:dyDescent="0.25">
      <c r="K594" s="6"/>
      <c r="L594" s="6"/>
      <c r="M594" s="6"/>
      <c r="N594" s="6"/>
    </row>
    <row r="595" spans="11:14" ht="13.2" x14ac:dyDescent="0.25">
      <c r="K595" s="6"/>
      <c r="L595" s="6"/>
      <c r="M595" s="6"/>
      <c r="N595" s="6"/>
    </row>
    <row r="596" spans="11:14" ht="13.2" x14ac:dyDescent="0.25">
      <c r="K596" s="6"/>
      <c r="L596" s="6"/>
      <c r="M596" s="6"/>
      <c r="N596" s="6"/>
    </row>
    <row r="597" spans="11:14" ht="13.2" x14ac:dyDescent="0.25">
      <c r="K597" s="6"/>
      <c r="L597" s="6"/>
      <c r="M597" s="6"/>
      <c r="N597" s="6"/>
    </row>
    <row r="598" spans="11:14" ht="13.2" x14ac:dyDescent="0.25">
      <c r="K598" s="6"/>
      <c r="L598" s="6"/>
      <c r="M598" s="6"/>
      <c r="N598" s="6"/>
    </row>
    <row r="599" spans="11:14" ht="13.2" x14ac:dyDescent="0.25">
      <c r="K599" s="6"/>
      <c r="L599" s="6"/>
      <c r="M599" s="6"/>
      <c r="N599" s="6"/>
    </row>
    <row r="600" spans="11:14" ht="13.2" x14ac:dyDescent="0.25">
      <c r="K600" s="6"/>
      <c r="L600" s="6"/>
      <c r="M600" s="6"/>
      <c r="N600" s="6"/>
    </row>
    <row r="601" spans="11:14" ht="13.2" x14ac:dyDescent="0.25">
      <c r="K601" s="6"/>
      <c r="L601" s="6"/>
      <c r="M601" s="6"/>
      <c r="N601" s="6"/>
    </row>
    <row r="602" spans="11:14" ht="13.2" x14ac:dyDescent="0.25">
      <c r="K602" s="6"/>
      <c r="L602" s="6"/>
      <c r="M602" s="6"/>
      <c r="N602" s="6"/>
    </row>
    <row r="603" spans="11:14" ht="13.2" x14ac:dyDescent="0.25">
      <c r="K603" s="6"/>
      <c r="L603" s="6"/>
      <c r="M603" s="6"/>
      <c r="N603" s="6"/>
    </row>
    <row r="604" spans="11:14" ht="13.2" x14ac:dyDescent="0.25">
      <c r="K604" s="6"/>
      <c r="L604" s="6"/>
      <c r="M604" s="6"/>
      <c r="N604" s="6"/>
    </row>
    <row r="605" spans="11:14" ht="13.2" x14ac:dyDescent="0.25">
      <c r="K605" s="6"/>
      <c r="L605" s="6"/>
      <c r="M605" s="6"/>
      <c r="N605" s="6"/>
    </row>
    <row r="606" spans="11:14" ht="13.2" x14ac:dyDescent="0.25">
      <c r="K606" s="6"/>
      <c r="L606" s="6"/>
      <c r="M606" s="6"/>
      <c r="N606" s="6"/>
    </row>
    <row r="607" spans="11:14" ht="13.2" x14ac:dyDescent="0.25">
      <c r="K607" s="6"/>
      <c r="L607" s="6"/>
      <c r="M607" s="6"/>
      <c r="N607" s="6"/>
    </row>
    <row r="608" spans="11:14" ht="13.2" x14ac:dyDescent="0.25">
      <c r="K608" s="6"/>
      <c r="L608" s="6"/>
      <c r="M608" s="6"/>
      <c r="N608" s="6"/>
    </row>
    <row r="609" spans="11:14" ht="13.2" x14ac:dyDescent="0.25">
      <c r="K609" s="6"/>
      <c r="L609" s="6"/>
      <c r="M609" s="6"/>
      <c r="N609" s="6"/>
    </row>
    <row r="610" spans="11:14" ht="13.2" x14ac:dyDescent="0.25">
      <c r="K610" s="6"/>
      <c r="L610" s="6"/>
      <c r="M610" s="6"/>
      <c r="N610" s="6"/>
    </row>
    <row r="611" spans="11:14" ht="13.2" x14ac:dyDescent="0.25">
      <c r="K611" s="6"/>
      <c r="L611" s="6"/>
      <c r="M611" s="6"/>
      <c r="N611" s="6"/>
    </row>
    <row r="612" spans="11:14" ht="13.2" x14ac:dyDescent="0.25">
      <c r="K612" s="6"/>
      <c r="L612" s="6"/>
      <c r="M612" s="6"/>
      <c r="N612" s="6"/>
    </row>
    <row r="613" spans="11:14" ht="13.2" x14ac:dyDescent="0.25">
      <c r="K613" s="6"/>
      <c r="L613" s="6"/>
      <c r="M613" s="6"/>
      <c r="N613" s="6"/>
    </row>
    <row r="614" spans="11:14" ht="13.2" x14ac:dyDescent="0.25">
      <c r="K614" s="6"/>
      <c r="L614" s="6"/>
      <c r="M614" s="6"/>
      <c r="N614" s="6"/>
    </row>
    <row r="615" spans="11:14" ht="13.2" x14ac:dyDescent="0.25">
      <c r="K615" s="6"/>
      <c r="L615" s="6"/>
      <c r="M615" s="6"/>
      <c r="N615" s="6"/>
    </row>
    <row r="616" spans="11:14" ht="13.2" x14ac:dyDescent="0.25">
      <c r="K616" s="6"/>
      <c r="L616" s="6"/>
      <c r="M616" s="6"/>
      <c r="N616" s="6"/>
    </row>
    <row r="617" spans="11:14" ht="13.2" x14ac:dyDescent="0.25">
      <c r="K617" s="6"/>
      <c r="L617" s="6"/>
      <c r="M617" s="6"/>
      <c r="N617" s="6"/>
    </row>
    <row r="618" spans="11:14" ht="13.2" x14ac:dyDescent="0.25">
      <c r="K618" s="6"/>
      <c r="L618" s="6"/>
      <c r="M618" s="6"/>
      <c r="N618" s="6"/>
    </row>
    <row r="619" spans="11:14" ht="13.2" x14ac:dyDescent="0.25">
      <c r="K619" s="6"/>
      <c r="L619" s="6"/>
      <c r="M619" s="6"/>
      <c r="N619" s="6"/>
    </row>
    <row r="620" spans="11:14" ht="13.2" x14ac:dyDescent="0.25">
      <c r="K620" s="6"/>
      <c r="L620" s="6"/>
      <c r="M620" s="6"/>
      <c r="N620" s="6"/>
    </row>
    <row r="621" spans="11:14" ht="13.2" x14ac:dyDescent="0.25">
      <c r="K621" s="6"/>
      <c r="L621" s="6"/>
      <c r="M621" s="6"/>
      <c r="N621" s="6"/>
    </row>
    <row r="622" spans="11:14" ht="13.2" x14ac:dyDescent="0.25">
      <c r="K622" s="6"/>
      <c r="L622" s="6"/>
      <c r="M622" s="6"/>
      <c r="N622" s="6"/>
    </row>
    <row r="623" spans="11:14" ht="13.2" x14ac:dyDescent="0.25">
      <c r="K623" s="6"/>
      <c r="L623" s="6"/>
      <c r="M623" s="6"/>
      <c r="N623" s="6"/>
    </row>
    <row r="624" spans="11:14" ht="13.2" x14ac:dyDescent="0.25">
      <c r="K624" s="6"/>
      <c r="L624" s="6"/>
      <c r="M624" s="6"/>
      <c r="N624" s="6"/>
    </row>
    <row r="625" spans="11:14" ht="13.2" x14ac:dyDescent="0.25">
      <c r="K625" s="6"/>
      <c r="L625" s="6"/>
      <c r="M625" s="6"/>
      <c r="N625" s="6"/>
    </row>
    <row r="626" spans="11:14" ht="13.2" x14ac:dyDescent="0.25">
      <c r="K626" s="6"/>
      <c r="L626" s="6"/>
      <c r="M626" s="6"/>
      <c r="N626" s="6"/>
    </row>
    <row r="627" spans="11:14" ht="13.2" x14ac:dyDescent="0.25">
      <c r="K627" s="6"/>
      <c r="L627" s="6"/>
      <c r="M627" s="6"/>
      <c r="N627" s="6"/>
    </row>
    <row r="628" spans="11:14" ht="13.2" x14ac:dyDescent="0.25">
      <c r="K628" s="6"/>
      <c r="L628" s="6"/>
      <c r="M628" s="6"/>
      <c r="N628" s="6"/>
    </row>
    <row r="629" spans="11:14" ht="13.2" x14ac:dyDescent="0.25">
      <c r="K629" s="6"/>
      <c r="L629" s="6"/>
      <c r="M629" s="6"/>
      <c r="N629" s="6"/>
    </row>
    <row r="630" spans="11:14" ht="13.2" x14ac:dyDescent="0.25">
      <c r="K630" s="6"/>
      <c r="L630" s="6"/>
      <c r="M630" s="6"/>
      <c r="N630" s="6"/>
    </row>
    <row r="631" spans="11:14" ht="13.2" x14ac:dyDescent="0.25">
      <c r="K631" s="6"/>
      <c r="L631" s="6"/>
      <c r="M631" s="6"/>
      <c r="N631" s="6"/>
    </row>
    <row r="632" spans="11:14" ht="13.2" x14ac:dyDescent="0.25">
      <c r="K632" s="6"/>
      <c r="L632" s="6"/>
      <c r="M632" s="6"/>
      <c r="N632" s="6"/>
    </row>
    <row r="633" spans="11:14" ht="13.2" x14ac:dyDescent="0.25">
      <c r="K633" s="6"/>
      <c r="L633" s="6"/>
      <c r="M633" s="6"/>
      <c r="N633" s="6"/>
    </row>
    <row r="634" spans="11:14" ht="13.2" x14ac:dyDescent="0.25">
      <c r="K634" s="6"/>
      <c r="L634" s="6"/>
      <c r="M634" s="6"/>
      <c r="N634" s="6"/>
    </row>
    <row r="635" spans="11:14" ht="13.2" x14ac:dyDescent="0.25">
      <c r="K635" s="6"/>
      <c r="L635" s="6"/>
      <c r="M635" s="6"/>
      <c r="N635" s="6"/>
    </row>
    <row r="636" spans="11:14" ht="13.2" x14ac:dyDescent="0.25">
      <c r="K636" s="6"/>
      <c r="L636" s="6"/>
      <c r="M636" s="6"/>
      <c r="N636" s="6"/>
    </row>
    <row r="637" spans="11:14" ht="13.2" x14ac:dyDescent="0.25">
      <c r="K637" s="6"/>
      <c r="L637" s="6"/>
      <c r="M637" s="6"/>
      <c r="N637" s="6"/>
    </row>
    <row r="638" spans="11:14" ht="13.2" x14ac:dyDescent="0.25">
      <c r="K638" s="6"/>
      <c r="L638" s="6"/>
      <c r="M638" s="6"/>
      <c r="N638" s="6"/>
    </row>
    <row r="639" spans="11:14" ht="13.2" x14ac:dyDescent="0.25">
      <c r="K639" s="6"/>
      <c r="L639" s="6"/>
      <c r="M639" s="6"/>
      <c r="N639" s="6"/>
    </row>
    <row r="640" spans="11:14" ht="13.2" x14ac:dyDescent="0.25">
      <c r="K640" s="6"/>
      <c r="L640" s="6"/>
      <c r="M640" s="6"/>
      <c r="N640" s="6"/>
    </row>
    <row r="641" spans="11:14" ht="13.2" x14ac:dyDescent="0.25">
      <c r="K641" s="6"/>
      <c r="L641" s="6"/>
      <c r="M641" s="6"/>
      <c r="N641" s="6"/>
    </row>
    <row r="642" spans="11:14" ht="13.2" x14ac:dyDescent="0.25">
      <c r="K642" s="6"/>
      <c r="L642" s="6"/>
      <c r="M642" s="6"/>
      <c r="N642" s="6"/>
    </row>
    <row r="643" spans="11:14" ht="13.2" x14ac:dyDescent="0.25">
      <c r="K643" s="6"/>
      <c r="L643" s="6"/>
      <c r="M643" s="6"/>
      <c r="N643" s="6"/>
    </row>
    <row r="644" spans="11:14" ht="13.2" x14ac:dyDescent="0.25">
      <c r="K644" s="6"/>
      <c r="L644" s="6"/>
      <c r="M644" s="6"/>
      <c r="N644" s="6"/>
    </row>
    <row r="645" spans="11:14" ht="13.2" x14ac:dyDescent="0.25">
      <c r="K645" s="6"/>
      <c r="L645" s="6"/>
      <c r="M645" s="6"/>
      <c r="N645" s="6"/>
    </row>
    <row r="646" spans="11:14" ht="13.2" x14ac:dyDescent="0.25">
      <c r="K646" s="6"/>
      <c r="L646" s="6"/>
      <c r="M646" s="6"/>
      <c r="N646" s="6"/>
    </row>
    <row r="647" spans="11:14" ht="13.2" x14ac:dyDescent="0.25">
      <c r="K647" s="6"/>
      <c r="L647" s="6"/>
      <c r="M647" s="6"/>
      <c r="N647" s="6"/>
    </row>
    <row r="648" spans="11:14" ht="13.2" x14ac:dyDescent="0.25">
      <c r="K648" s="6"/>
      <c r="L648" s="6"/>
      <c r="M648" s="6"/>
      <c r="N648" s="6"/>
    </row>
    <row r="649" spans="11:14" ht="13.2" x14ac:dyDescent="0.25">
      <c r="K649" s="6"/>
      <c r="L649" s="6"/>
      <c r="M649" s="6"/>
      <c r="N649" s="6"/>
    </row>
    <row r="650" spans="11:14" ht="13.2" x14ac:dyDescent="0.25">
      <c r="K650" s="6"/>
      <c r="L650" s="6"/>
      <c r="M650" s="6"/>
      <c r="N650" s="6"/>
    </row>
    <row r="651" spans="11:14" ht="13.2" x14ac:dyDescent="0.25">
      <c r="K651" s="6"/>
      <c r="L651" s="6"/>
      <c r="M651" s="6"/>
      <c r="N651" s="6"/>
    </row>
    <row r="652" spans="11:14" ht="13.2" x14ac:dyDescent="0.25">
      <c r="K652" s="6"/>
      <c r="L652" s="6"/>
      <c r="M652" s="6"/>
      <c r="N652" s="6"/>
    </row>
    <row r="653" spans="11:14" ht="13.2" x14ac:dyDescent="0.25">
      <c r="K653" s="6"/>
      <c r="L653" s="6"/>
      <c r="M653" s="6"/>
      <c r="N653" s="6"/>
    </row>
    <row r="654" spans="11:14" ht="13.2" x14ac:dyDescent="0.25">
      <c r="K654" s="6"/>
      <c r="L654" s="6"/>
      <c r="M654" s="6"/>
      <c r="N654" s="6"/>
    </row>
    <row r="655" spans="11:14" ht="13.2" x14ac:dyDescent="0.25">
      <c r="K655" s="6"/>
      <c r="L655" s="6"/>
      <c r="M655" s="6"/>
      <c r="N655" s="6"/>
    </row>
    <row r="656" spans="11:14" ht="13.2" x14ac:dyDescent="0.25">
      <c r="K656" s="6"/>
      <c r="L656" s="6"/>
      <c r="M656" s="6"/>
      <c r="N656" s="6"/>
    </row>
    <row r="657" spans="11:14" ht="13.2" x14ac:dyDescent="0.25">
      <c r="K657" s="6"/>
      <c r="L657" s="6"/>
      <c r="M657" s="6"/>
      <c r="N657" s="6"/>
    </row>
    <row r="658" spans="11:14" ht="13.2" x14ac:dyDescent="0.25">
      <c r="K658" s="6"/>
      <c r="L658" s="6"/>
      <c r="M658" s="6"/>
      <c r="N658" s="6"/>
    </row>
    <row r="659" spans="11:14" ht="13.2" x14ac:dyDescent="0.25">
      <c r="K659" s="6"/>
      <c r="L659" s="6"/>
      <c r="M659" s="6"/>
      <c r="N659" s="6"/>
    </row>
    <row r="660" spans="11:14" ht="13.2" x14ac:dyDescent="0.25">
      <c r="K660" s="6"/>
      <c r="L660" s="6"/>
      <c r="M660" s="6"/>
      <c r="N660" s="6"/>
    </row>
    <row r="661" spans="11:14" ht="13.2" x14ac:dyDescent="0.25">
      <c r="K661" s="6"/>
      <c r="L661" s="6"/>
      <c r="M661" s="6"/>
      <c r="N661" s="6"/>
    </row>
    <row r="662" spans="11:14" ht="13.2" x14ac:dyDescent="0.25">
      <c r="K662" s="6"/>
      <c r="L662" s="6"/>
      <c r="M662" s="6"/>
      <c r="N662" s="6"/>
    </row>
    <row r="663" spans="11:14" ht="13.2" x14ac:dyDescent="0.25">
      <c r="K663" s="6"/>
      <c r="L663" s="6"/>
      <c r="M663" s="6"/>
      <c r="N663" s="6"/>
    </row>
    <row r="664" spans="11:14" ht="13.2" x14ac:dyDescent="0.25">
      <c r="K664" s="6"/>
      <c r="L664" s="6"/>
      <c r="M664" s="6"/>
      <c r="N664" s="6"/>
    </row>
    <row r="665" spans="11:14" ht="13.2" x14ac:dyDescent="0.25">
      <c r="K665" s="6"/>
      <c r="L665" s="6"/>
      <c r="M665" s="6"/>
      <c r="N665" s="6"/>
    </row>
    <row r="666" spans="11:14" ht="13.2" x14ac:dyDescent="0.25">
      <c r="K666" s="6"/>
      <c r="L666" s="6"/>
      <c r="M666" s="6"/>
      <c r="N666" s="6"/>
    </row>
    <row r="667" spans="11:14" ht="13.2" x14ac:dyDescent="0.25">
      <c r="K667" s="6"/>
      <c r="L667" s="6"/>
      <c r="M667" s="6"/>
      <c r="N667" s="6"/>
    </row>
    <row r="668" spans="11:14" ht="13.2" x14ac:dyDescent="0.25">
      <c r="K668" s="6"/>
      <c r="L668" s="6"/>
      <c r="M668" s="6"/>
      <c r="N668" s="6"/>
    </row>
    <row r="669" spans="11:14" ht="13.2" x14ac:dyDescent="0.25">
      <c r="K669" s="6"/>
      <c r="L669" s="6"/>
      <c r="M669" s="6"/>
      <c r="N669" s="6"/>
    </row>
    <row r="670" spans="11:14" ht="13.2" x14ac:dyDescent="0.25">
      <c r="K670" s="6"/>
      <c r="L670" s="6"/>
      <c r="M670" s="6"/>
      <c r="N670" s="6"/>
    </row>
    <row r="671" spans="11:14" ht="13.2" x14ac:dyDescent="0.25">
      <c r="K671" s="6"/>
      <c r="L671" s="6"/>
      <c r="M671" s="6"/>
      <c r="N671" s="6"/>
    </row>
    <row r="672" spans="11:14" ht="13.2" x14ac:dyDescent="0.25">
      <c r="K672" s="6"/>
      <c r="L672" s="6"/>
      <c r="M672" s="6"/>
      <c r="N672" s="6"/>
    </row>
    <row r="673" spans="11:14" ht="13.2" x14ac:dyDescent="0.25">
      <c r="K673" s="6"/>
      <c r="L673" s="6"/>
      <c r="M673" s="6"/>
      <c r="N673" s="6"/>
    </row>
    <row r="674" spans="11:14" ht="13.2" x14ac:dyDescent="0.25">
      <c r="K674" s="6"/>
      <c r="L674" s="6"/>
      <c r="M674" s="6"/>
      <c r="N674" s="6"/>
    </row>
    <row r="675" spans="11:14" ht="13.2" x14ac:dyDescent="0.25">
      <c r="K675" s="6"/>
      <c r="L675" s="6"/>
      <c r="M675" s="6"/>
      <c r="N675" s="6"/>
    </row>
    <row r="676" spans="11:14" ht="13.2" x14ac:dyDescent="0.25">
      <c r="K676" s="6"/>
      <c r="L676" s="6"/>
      <c r="M676" s="6"/>
      <c r="N676" s="6"/>
    </row>
    <row r="677" spans="11:14" ht="13.2" x14ac:dyDescent="0.25">
      <c r="K677" s="6"/>
      <c r="L677" s="6"/>
      <c r="M677" s="6"/>
      <c r="N677" s="6"/>
    </row>
    <row r="678" spans="11:14" ht="13.2" x14ac:dyDescent="0.25">
      <c r="K678" s="6"/>
      <c r="L678" s="6"/>
      <c r="M678" s="6"/>
      <c r="N678" s="6"/>
    </row>
    <row r="679" spans="11:14" ht="13.2" x14ac:dyDescent="0.25">
      <c r="K679" s="6"/>
      <c r="L679" s="6"/>
      <c r="M679" s="6"/>
      <c r="N679" s="6"/>
    </row>
    <row r="680" spans="11:14" ht="13.2" x14ac:dyDescent="0.25">
      <c r="K680" s="6"/>
      <c r="L680" s="6"/>
      <c r="M680" s="6"/>
      <c r="N680" s="6"/>
    </row>
    <row r="681" spans="11:14" ht="13.2" x14ac:dyDescent="0.25">
      <c r="K681" s="6"/>
      <c r="L681" s="6"/>
      <c r="M681" s="6"/>
      <c r="N681" s="6"/>
    </row>
    <row r="682" spans="11:14" ht="13.2" x14ac:dyDescent="0.25">
      <c r="K682" s="6"/>
      <c r="L682" s="6"/>
      <c r="M682" s="6"/>
      <c r="N682" s="6"/>
    </row>
    <row r="683" spans="11:14" ht="13.2" x14ac:dyDescent="0.25">
      <c r="K683" s="6"/>
      <c r="L683" s="6"/>
      <c r="M683" s="6"/>
      <c r="N683" s="6"/>
    </row>
    <row r="684" spans="11:14" ht="13.2" x14ac:dyDescent="0.25">
      <c r="K684" s="6"/>
      <c r="L684" s="6"/>
      <c r="M684" s="6"/>
      <c r="N684" s="6"/>
    </row>
    <row r="685" spans="11:14" ht="13.2" x14ac:dyDescent="0.25">
      <c r="K685" s="6"/>
      <c r="L685" s="6"/>
      <c r="M685" s="6"/>
      <c r="N685" s="6"/>
    </row>
    <row r="686" spans="11:14" ht="13.2" x14ac:dyDescent="0.25">
      <c r="K686" s="6"/>
      <c r="L686" s="6"/>
      <c r="M686" s="6"/>
      <c r="N686" s="6"/>
    </row>
    <row r="687" spans="11:14" ht="13.2" x14ac:dyDescent="0.25">
      <c r="K687" s="6"/>
      <c r="L687" s="6"/>
      <c r="M687" s="6"/>
      <c r="N687" s="6"/>
    </row>
    <row r="688" spans="11:14" ht="13.2" x14ac:dyDescent="0.25">
      <c r="K688" s="6"/>
      <c r="L688" s="6"/>
      <c r="M688" s="6"/>
      <c r="N688" s="6"/>
    </row>
    <row r="689" spans="11:14" ht="13.2" x14ac:dyDescent="0.25">
      <c r="K689" s="6"/>
      <c r="L689" s="6"/>
      <c r="M689" s="6"/>
      <c r="N689" s="6"/>
    </row>
    <row r="690" spans="11:14" ht="13.2" x14ac:dyDescent="0.25">
      <c r="K690" s="6"/>
      <c r="L690" s="6"/>
      <c r="M690" s="6"/>
      <c r="N690" s="6"/>
    </row>
    <row r="691" spans="11:14" ht="13.2" x14ac:dyDescent="0.25">
      <c r="K691" s="6"/>
      <c r="L691" s="6"/>
      <c r="M691" s="6"/>
      <c r="N691" s="6"/>
    </row>
    <row r="692" spans="11:14" ht="13.2" x14ac:dyDescent="0.25">
      <c r="K692" s="6"/>
      <c r="L692" s="6"/>
      <c r="M692" s="6"/>
      <c r="N692" s="6"/>
    </row>
    <row r="693" spans="11:14" ht="13.2" x14ac:dyDescent="0.25">
      <c r="K693" s="6"/>
      <c r="L693" s="6"/>
      <c r="M693" s="6"/>
      <c r="N693" s="6"/>
    </row>
    <row r="694" spans="11:14" ht="13.2" x14ac:dyDescent="0.25">
      <c r="K694" s="6"/>
      <c r="L694" s="6"/>
      <c r="M694" s="6"/>
      <c r="N694" s="6"/>
    </row>
    <row r="695" spans="11:14" ht="13.2" x14ac:dyDescent="0.25">
      <c r="K695" s="6"/>
      <c r="L695" s="6"/>
      <c r="M695" s="6"/>
      <c r="N695" s="6"/>
    </row>
    <row r="696" spans="11:14" ht="13.2" x14ac:dyDescent="0.25">
      <c r="K696" s="6"/>
      <c r="L696" s="6"/>
      <c r="M696" s="6"/>
      <c r="N696" s="6"/>
    </row>
    <row r="697" spans="11:14" ht="13.2" x14ac:dyDescent="0.25">
      <c r="K697" s="6"/>
      <c r="L697" s="6"/>
      <c r="M697" s="6"/>
      <c r="N697" s="6"/>
    </row>
    <row r="698" spans="11:14" ht="13.2" x14ac:dyDescent="0.25">
      <c r="K698" s="6"/>
      <c r="L698" s="6"/>
      <c r="M698" s="6"/>
      <c r="N698" s="6"/>
    </row>
    <row r="699" spans="11:14" ht="13.2" x14ac:dyDescent="0.25">
      <c r="K699" s="6"/>
      <c r="L699" s="6"/>
      <c r="M699" s="6"/>
      <c r="N699" s="6"/>
    </row>
    <row r="700" spans="11:14" ht="13.2" x14ac:dyDescent="0.25">
      <c r="K700" s="6"/>
      <c r="L700" s="6"/>
      <c r="M700" s="6"/>
      <c r="N700" s="6"/>
    </row>
    <row r="701" spans="11:14" ht="13.2" x14ac:dyDescent="0.25">
      <c r="K701" s="6"/>
      <c r="L701" s="6"/>
      <c r="M701" s="6"/>
      <c r="N701" s="6"/>
    </row>
    <row r="702" spans="11:14" ht="13.2" x14ac:dyDescent="0.25">
      <c r="K702" s="6"/>
      <c r="L702" s="6"/>
      <c r="M702" s="6"/>
      <c r="N702" s="6"/>
    </row>
    <row r="703" spans="11:14" ht="13.2" x14ac:dyDescent="0.25">
      <c r="K703" s="6"/>
      <c r="L703" s="6"/>
      <c r="M703" s="6"/>
      <c r="N703" s="6"/>
    </row>
    <row r="704" spans="11:14" ht="13.2" x14ac:dyDescent="0.25">
      <c r="K704" s="6"/>
      <c r="L704" s="6"/>
      <c r="M704" s="6"/>
      <c r="N704" s="6"/>
    </row>
    <row r="705" spans="11:14" ht="13.2" x14ac:dyDescent="0.25">
      <c r="K705" s="6"/>
      <c r="L705" s="6"/>
      <c r="M705" s="6"/>
      <c r="N705" s="6"/>
    </row>
    <row r="706" spans="11:14" ht="13.2" x14ac:dyDescent="0.25">
      <c r="K706" s="6"/>
      <c r="L706" s="6"/>
      <c r="M706" s="6"/>
      <c r="N706" s="6"/>
    </row>
    <row r="707" spans="11:14" ht="13.2" x14ac:dyDescent="0.25">
      <c r="K707" s="6"/>
      <c r="L707" s="6"/>
      <c r="M707" s="6"/>
      <c r="N707" s="6"/>
    </row>
    <row r="708" spans="11:14" ht="13.2" x14ac:dyDescent="0.25">
      <c r="K708" s="6"/>
      <c r="L708" s="6"/>
      <c r="M708" s="6"/>
      <c r="N708" s="6"/>
    </row>
    <row r="709" spans="11:14" ht="13.2" x14ac:dyDescent="0.25">
      <c r="K709" s="6"/>
      <c r="L709" s="6"/>
      <c r="M709" s="6"/>
      <c r="N709" s="6"/>
    </row>
    <row r="710" spans="11:14" ht="13.2" x14ac:dyDescent="0.25">
      <c r="K710" s="6"/>
      <c r="L710" s="6"/>
      <c r="M710" s="6"/>
      <c r="N710" s="6"/>
    </row>
    <row r="711" spans="11:14" ht="13.2" x14ac:dyDescent="0.25">
      <c r="K711" s="6"/>
      <c r="L711" s="6"/>
      <c r="M711" s="6"/>
      <c r="N711" s="6"/>
    </row>
    <row r="712" spans="11:14" ht="13.2" x14ac:dyDescent="0.25">
      <c r="K712" s="6"/>
      <c r="L712" s="6"/>
      <c r="M712" s="6"/>
      <c r="N712" s="6"/>
    </row>
    <row r="713" spans="11:14" ht="13.2" x14ac:dyDescent="0.25">
      <c r="K713" s="6"/>
      <c r="L713" s="6"/>
      <c r="M713" s="6"/>
      <c r="N713" s="6"/>
    </row>
    <row r="714" spans="11:14" ht="13.2" x14ac:dyDescent="0.25">
      <c r="K714" s="6"/>
      <c r="L714" s="6"/>
      <c r="M714" s="6"/>
      <c r="N714" s="6"/>
    </row>
    <row r="715" spans="11:14" ht="13.2" x14ac:dyDescent="0.25">
      <c r="K715" s="6"/>
      <c r="L715" s="6"/>
      <c r="M715" s="6"/>
      <c r="N715" s="6"/>
    </row>
    <row r="716" spans="11:14" ht="13.2" x14ac:dyDescent="0.25">
      <c r="K716" s="6"/>
      <c r="L716" s="6"/>
      <c r="M716" s="6"/>
      <c r="N716" s="6"/>
    </row>
    <row r="717" spans="11:14" ht="13.2" x14ac:dyDescent="0.25">
      <c r="K717" s="6"/>
      <c r="L717" s="6"/>
      <c r="M717" s="6"/>
      <c r="N717" s="6"/>
    </row>
    <row r="718" spans="11:14" ht="13.2" x14ac:dyDescent="0.25">
      <c r="K718" s="6"/>
      <c r="L718" s="6"/>
      <c r="M718" s="6"/>
      <c r="N718" s="6"/>
    </row>
    <row r="719" spans="11:14" ht="13.2" x14ac:dyDescent="0.25">
      <c r="K719" s="6"/>
      <c r="L719" s="6"/>
      <c r="M719" s="6"/>
      <c r="N719" s="6"/>
    </row>
    <row r="720" spans="11:14" ht="13.2" x14ac:dyDescent="0.25">
      <c r="K720" s="6"/>
      <c r="L720" s="6"/>
      <c r="M720" s="6"/>
      <c r="N720" s="6"/>
    </row>
    <row r="721" spans="11:14" ht="13.2" x14ac:dyDescent="0.25">
      <c r="K721" s="6"/>
      <c r="L721" s="6"/>
      <c r="M721" s="6"/>
      <c r="N721" s="6"/>
    </row>
    <row r="722" spans="11:14" ht="13.2" x14ac:dyDescent="0.25">
      <c r="K722" s="6"/>
      <c r="L722" s="6"/>
      <c r="M722" s="6"/>
      <c r="N722" s="6"/>
    </row>
    <row r="723" spans="11:14" ht="13.2" x14ac:dyDescent="0.25">
      <c r="K723" s="6"/>
      <c r="L723" s="6"/>
      <c r="M723" s="6"/>
      <c r="N723" s="6"/>
    </row>
    <row r="724" spans="11:14" ht="13.2" x14ac:dyDescent="0.25">
      <c r="K724" s="6"/>
      <c r="L724" s="6"/>
      <c r="M724" s="6"/>
      <c r="N724" s="6"/>
    </row>
    <row r="725" spans="11:14" ht="13.2" x14ac:dyDescent="0.25">
      <c r="K725" s="6"/>
      <c r="L725" s="6"/>
      <c r="M725" s="6"/>
      <c r="N725" s="6"/>
    </row>
    <row r="726" spans="11:14" ht="13.2" x14ac:dyDescent="0.25">
      <c r="K726" s="6"/>
      <c r="L726" s="6"/>
      <c r="M726" s="6"/>
      <c r="N726" s="6"/>
    </row>
    <row r="727" spans="11:14" ht="13.2" x14ac:dyDescent="0.25">
      <c r="K727" s="6"/>
      <c r="L727" s="6"/>
      <c r="M727" s="6"/>
      <c r="N727" s="6"/>
    </row>
    <row r="728" spans="11:14" ht="13.2" x14ac:dyDescent="0.25">
      <c r="K728" s="6"/>
      <c r="L728" s="6"/>
      <c r="M728" s="6"/>
      <c r="N728" s="6"/>
    </row>
    <row r="729" spans="11:14" ht="13.2" x14ac:dyDescent="0.25">
      <c r="K729" s="6"/>
      <c r="L729" s="6"/>
      <c r="M729" s="6"/>
      <c r="N729" s="6"/>
    </row>
    <row r="730" spans="11:14" ht="13.2" x14ac:dyDescent="0.25">
      <c r="K730" s="6"/>
      <c r="L730" s="6"/>
      <c r="M730" s="6"/>
      <c r="N730" s="6"/>
    </row>
    <row r="731" spans="11:14" ht="13.2" x14ac:dyDescent="0.25">
      <c r="K731" s="6"/>
      <c r="L731" s="6"/>
      <c r="M731" s="6"/>
      <c r="N731" s="6"/>
    </row>
    <row r="732" spans="11:14" ht="13.2" x14ac:dyDescent="0.25">
      <c r="K732" s="6"/>
      <c r="L732" s="6"/>
      <c r="M732" s="6"/>
      <c r="N732" s="6"/>
    </row>
    <row r="733" spans="11:14" ht="13.2" x14ac:dyDescent="0.25">
      <c r="K733" s="6"/>
      <c r="L733" s="6"/>
      <c r="M733" s="6"/>
      <c r="N733" s="6"/>
    </row>
    <row r="734" spans="11:14" ht="13.2" x14ac:dyDescent="0.25">
      <c r="K734" s="6"/>
      <c r="L734" s="6"/>
      <c r="M734" s="6"/>
      <c r="N734" s="6"/>
    </row>
    <row r="735" spans="11:14" ht="13.2" x14ac:dyDescent="0.25">
      <c r="K735" s="6"/>
      <c r="L735" s="6"/>
      <c r="M735" s="6"/>
      <c r="N735" s="6"/>
    </row>
    <row r="736" spans="11:14" ht="13.2" x14ac:dyDescent="0.25">
      <c r="K736" s="6"/>
      <c r="L736" s="6"/>
      <c r="M736" s="6"/>
      <c r="N736" s="6"/>
    </row>
    <row r="737" spans="11:14" ht="13.2" x14ac:dyDescent="0.25">
      <c r="K737" s="6"/>
      <c r="L737" s="6"/>
      <c r="M737" s="6"/>
      <c r="N737" s="6"/>
    </row>
    <row r="738" spans="11:14" ht="13.2" x14ac:dyDescent="0.25">
      <c r="K738" s="6"/>
      <c r="L738" s="6"/>
      <c r="M738" s="6"/>
      <c r="N738" s="6"/>
    </row>
    <row r="739" spans="11:14" ht="13.2" x14ac:dyDescent="0.25">
      <c r="K739" s="6"/>
      <c r="L739" s="6"/>
      <c r="M739" s="6"/>
      <c r="N739" s="6"/>
    </row>
    <row r="740" spans="11:14" ht="13.2" x14ac:dyDescent="0.25">
      <c r="K740" s="6"/>
      <c r="L740" s="6"/>
      <c r="M740" s="6"/>
      <c r="N740" s="6"/>
    </row>
    <row r="741" spans="11:14" ht="13.2" x14ac:dyDescent="0.25">
      <c r="K741" s="6"/>
      <c r="L741" s="6"/>
      <c r="M741" s="6"/>
      <c r="N741" s="6"/>
    </row>
    <row r="742" spans="11:14" ht="13.2" x14ac:dyDescent="0.25">
      <c r="K742" s="6"/>
      <c r="L742" s="6"/>
      <c r="M742" s="6"/>
      <c r="N742" s="6"/>
    </row>
    <row r="743" spans="11:14" ht="13.2" x14ac:dyDescent="0.25">
      <c r="K743" s="6"/>
      <c r="L743" s="6"/>
      <c r="M743" s="6"/>
      <c r="N743" s="6"/>
    </row>
    <row r="744" spans="11:14" ht="13.2" x14ac:dyDescent="0.25">
      <c r="K744" s="6"/>
      <c r="L744" s="6"/>
      <c r="M744" s="6"/>
      <c r="N744" s="6"/>
    </row>
    <row r="745" spans="11:14" ht="13.2" x14ac:dyDescent="0.25">
      <c r="K745" s="6"/>
      <c r="L745" s="6"/>
      <c r="M745" s="6"/>
      <c r="N745" s="6"/>
    </row>
    <row r="746" spans="11:14" ht="13.2" x14ac:dyDescent="0.25">
      <c r="K746" s="6"/>
      <c r="L746" s="6"/>
      <c r="M746" s="6"/>
      <c r="N746" s="6"/>
    </row>
    <row r="747" spans="11:14" ht="13.2" x14ac:dyDescent="0.25">
      <c r="K747" s="6"/>
      <c r="L747" s="6"/>
      <c r="M747" s="6"/>
      <c r="N747" s="6"/>
    </row>
    <row r="748" spans="11:14" ht="13.2" x14ac:dyDescent="0.25">
      <c r="K748" s="6"/>
      <c r="L748" s="6"/>
      <c r="M748" s="6"/>
      <c r="N748" s="6"/>
    </row>
    <row r="749" spans="11:14" ht="13.2" x14ac:dyDescent="0.25">
      <c r="K749" s="6"/>
      <c r="L749" s="6"/>
      <c r="M749" s="6"/>
      <c r="N749" s="6"/>
    </row>
    <row r="750" spans="11:14" ht="13.2" x14ac:dyDescent="0.25">
      <c r="K750" s="6"/>
      <c r="L750" s="6"/>
      <c r="M750" s="6"/>
      <c r="N750" s="6"/>
    </row>
    <row r="751" spans="11:14" ht="13.2" x14ac:dyDescent="0.25">
      <c r="K751" s="6"/>
      <c r="L751" s="6"/>
      <c r="M751" s="6"/>
      <c r="N751" s="6"/>
    </row>
    <row r="752" spans="11:14" ht="13.2" x14ac:dyDescent="0.25">
      <c r="K752" s="6"/>
      <c r="L752" s="6"/>
      <c r="M752" s="6"/>
      <c r="N752" s="6"/>
    </row>
    <row r="753" spans="11:14" ht="13.2" x14ac:dyDescent="0.25">
      <c r="K753" s="6"/>
      <c r="L753" s="6"/>
      <c r="M753" s="6"/>
      <c r="N753" s="6"/>
    </row>
    <row r="754" spans="11:14" ht="13.2" x14ac:dyDescent="0.25">
      <c r="K754" s="6"/>
      <c r="L754" s="6"/>
      <c r="M754" s="6"/>
      <c r="N754" s="6"/>
    </row>
    <row r="755" spans="11:14" ht="13.2" x14ac:dyDescent="0.25">
      <c r="K755" s="6"/>
      <c r="L755" s="6"/>
      <c r="M755" s="6"/>
      <c r="N755" s="6"/>
    </row>
    <row r="756" spans="11:14" ht="13.2" x14ac:dyDescent="0.25">
      <c r="K756" s="6"/>
      <c r="L756" s="6"/>
      <c r="M756" s="6"/>
      <c r="N756" s="6"/>
    </row>
    <row r="757" spans="11:14" ht="13.2" x14ac:dyDescent="0.25">
      <c r="K757" s="6"/>
      <c r="L757" s="6"/>
      <c r="M757" s="6"/>
      <c r="N757" s="6"/>
    </row>
    <row r="758" spans="11:14" ht="13.2" x14ac:dyDescent="0.25">
      <c r="K758" s="6"/>
      <c r="L758" s="6"/>
      <c r="M758" s="6"/>
      <c r="N758" s="6"/>
    </row>
    <row r="759" spans="11:14" ht="13.2" x14ac:dyDescent="0.25">
      <c r="K759" s="6"/>
      <c r="L759" s="6"/>
      <c r="M759" s="6"/>
      <c r="N759" s="6"/>
    </row>
    <row r="760" spans="11:14" ht="13.2" x14ac:dyDescent="0.25">
      <c r="K760" s="6"/>
      <c r="L760" s="6"/>
      <c r="M760" s="6"/>
      <c r="N760" s="6"/>
    </row>
    <row r="761" spans="11:14" ht="13.2" x14ac:dyDescent="0.25">
      <c r="K761" s="6"/>
      <c r="L761" s="6"/>
      <c r="M761" s="6"/>
      <c r="N761" s="6"/>
    </row>
    <row r="762" spans="11:14" ht="13.2" x14ac:dyDescent="0.25">
      <c r="K762" s="6"/>
      <c r="L762" s="6"/>
      <c r="M762" s="6"/>
      <c r="N762" s="6"/>
    </row>
    <row r="763" spans="11:14" ht="13.2" x14ac:dyDescent="0.25">
      <c r="K763" s="6"/>
      <c r="L763" s="6"/>
      <c r="M763" s="6"/>
      <c r="N763" s="6"/>
    </row>
    <row r="764" spans="11:14" ht="13.2" x14ac:dyDescent="0.25">
      <c r="K764" s="6"/>
      <c r="L764" s="6"/>
      <c r="M764" s="6"/>
      <c r="N764" s="6"/>
    </row>
    <row r="765" spans="11:14" ht="13.2" x14ac:dyDescent="0.25">
      <c r="K765" s="6"/>
      <c r="L765" s="6"/>
      <c r="M765" s="6"/>
      <c r="N765" s="6"/>
    </row>
    <row r="766" spans="11:14" ht="13.2" x14ac:dyDescent="0.25">
      <c r="K766" s="6"/>
      <c r="L766" s="6"/>
      <c r="M766" s="6"/>
      <c r="N766" s="6"/>
    </row>
    <row r="767" spans="11:14" ht="13.2" x14ac:dyDescent="0.25">
      <c r="K767" s="6"/>
      <c r="L767" s="6"/>
      <c r="M767" s="6"/>
      <c r="N767" s="6"/>
    </row>
    <row r="768" spans="11:14" ht="13.2" x14ac:dyDescent="0.25">
      <c r="K768" s="6"/>
      <c r="L768" s="6"/>
      <c r="M768" s="6"/>
      <c r="N768" s="6"/>
    </row>
    <row r="769" spans="11:14" ht="13.2" x14ac:dyDescent="0.25">
      <c r="K769" s="6"/>
      <c r="L769" s="6"/>
      <c r="M769" s="6"/>
      <c r="N769" s="6"/>
    </row>
    <row r="770" spans="11:14" ht="13.2" x14ac:dyDescent="0.25">
      <c r="K770" s="6"/>
      <c r="L770" s="6"/>
      <c r="M770" s="6"/>
      <c r="N770" s="6"/>
    </row>
    <row r="771" spans="11:14" ht="13.2" x14ac:dyDescent="0.25">
      <c r="K771" s="6"/>
      <c r="L771" s="6"/>
      <c r="M771" s="6"/>
      <c r="N771" s="6"/>
    </row>
    <row r="772" spans="11:14" ht="13.2" x14ac:dyDescent="0.25">
      <c r="K772" s="6"/>
      <c r="L772" s="6"/>
      <c r="M772" s="6"/>
      <c r="N772" s="6"/>
    </row>
    <row r="773" spans="11:14" ht="13.2" x14ac:dyDescent="0.25">
      <c r="K773" s="6"/>
      <c r="L773" s="6"/>
      <c r="M773" s="6"/>
      <c r="N773" s="6"/>
    </row>
    <row r="774" spans="11:14" ht="13.2" x14ac:dyDescent="0.25">
      <c r="K774" s="6"/>
      <c r="L774" s="6"/>
      <c r="M774" s="6"/>
      <c r="N774" s="6"/>
    </row>
    <row r="775" spans="11:14" ht="13.2" x14ac:dyDescent="0.25">
      <c r="K775" s="6"/>
      <c r="L775" s="6"/>
      <c r="M775" s="6"/>
      <c r="N775" s="6"/>
    </row>
    <row r="776" spans="11:14" ht="13.2" x14ac:dyDescent="0.25">
      <c r="K776" s="6"/>
      <c r="L776" s="6"/>
      <c r="M776" s="6"/>
      <c r="N776" s="6"/>
    </row>
    <row r="777" spans="11:14" ht="13.2" x14ac:dyDescent="0.25">
      <c r="K777" s="6"/>
      <c r="L777" s="6"/>
      <c r="M777" s="6"/>
      <c r="N777" s="6"/>
    </row>
    <row r="778" spans="11:14" ht="13.2" x14ac:dyDescent="0.25">
      <c r="K778" s="6"/>
      <c r="L778" s="6"/>
      <c r="M778" s="6"/>
      <c r="N778" s="6"/>
    </row>
    <row r="779" spans="11:14" ht="13.2" x14ac:dyDescent="0.25">
      <c r="K779" s="6"/>
      <c r="L779" s="6"/>
      <c r="M779" s="6"/>
      <c r="N779" s="6"/>
    </row>
    <row r="780" spans="11:14" ht="13.2" x14ac:dyDescent="0.25">
      <c r="K780" s="6"/>
      <c r="L780" s="6"/>
      <c r="M780" s="6"/>
      <c r="N780" s="6"/>
    </row>
    <row r="781" spans="11:14" ht="13.2" x14ac:dyDescent="0.25">
      <c r="K781" s="6"/>
      <c r="L781" s="6"/>
      <c r="M781" s="6"/>
      <c r="N781" s="6"/>
    </row>
    <row r="782" spans="11:14" ht="13.2" x14ac:dyDescent="0.25">
      <c r="K782" s="6"/>
      <c r="L782" s="6"/>
      <c r="M782" s="6"/>
      <c r="N782" s="6"/>
    </row>
    <row r="783" spans="11:14" ht="13.2" x14ac:dyDescent="0.25">
      <c r="K783" s="6"/>
      <c r="L783" s="6"/>
      <c r="M783" s="6"/>
      <c r="N783" s="6"/>
    </row>
    <row r="784" spans="11:14" ht="13.2" x14ac:dyDescent="0.25">
      <c r="K784" s="6"/>
      <c r="L784" s="6"/>
      <c r="M784" s="6"/>
      <c r="N784" s="6"/>
    </row>
    <row r="785" spans="11:14" ht="13.2" x14ac:dyDescent="0.25">
      <c r="K785" s="6"/>
      <c r="L785" s="6"/>
      <c r="M785" s="6"/>
      <c r="N785" s="6"/>
    </row>
    <row r="786" spans="11:14" ht="13.2" x14ac:dyDescent="0.25">
      <c r="K786" s="6"/>
      <c r="L786" s="6"/>
      <c r="M786" s="6"/>
      <c r="N786" s="6"/>
    </row>
    <row r="787" spans="11:14" ht="13.2" x14ac:dyDescent="0.25">
      <c r="K787" s="6"/>
      <c r="L787" s="6"/>
      <c r="M787" s="6"/>
      <c r="N787" s="6"/>
    </row>
    <row r="788" spans="11:14" ht="13.2" x14ac:dyDescent="0.25">
      <c r="K788" s="6"/>
      <c r="L788" s="6"/>
      <c r="M788" s="6"/>
      <c r="N788" s="6"/>
    </row>
    <row r="789" spans="11:14" ht="13.2" x14ac:dyDescent="0.25">
      <c r="K789" s="6"/>
      <c r="L789" s="6"/>
      <c r="M789" s="6"/>
      <c r="N789" s="6"/>
    </row>
    <row r="790" spans="11:14" ht="13.2" x14ac:dyDescent="0.25">
      <c r="K790" s="6"/>
      <c r="L790" s="6"/>
      <c r="M790" s="6"/>
      <c r="N790" s="6"/>
    </row>
    <row r="791" spans="11:14" ht="13.2" x14ac:dyDescent="0.25">
      <c r="K791" s="6"/>
      <c r="L791" s="6"/>
      <c r="M791" s="6"/>
      <c r="N791" s="6"/>
    </row>
    <row r="792" spans="11:14" ht="13.2" x14ac:dyDescent="0.25">
      <c r="K792" s="6"/>
      <c r="L792" s="6"/>
      <c r="M792" s="6"/>
      <c r="N792" s="6"/>
    </row>
    <row r="793" spans="11:14" ht="13.2" x14ac:dyDescent="0.25">
      <c r="K793" s="6"/>
      <c r="L793" s="6"/>
      <c r="M793" s="6"/>
      <c r="N793" s="6"/>
    </row>
    <row r="794" spans="11:14" ht="13.2" x14ac:dyDescent="0.25">
      <c r="K794" s="6"/>
      <c r="L794" s="6"/>
      <c r="M794" s="6"/>
      <c r="N794" s="6"/>
    </row>
    <row r="795" spans="11:14" ht="13.2" x14ac:dyDescent="0.25">
      <c r="K795" s="6"/>
      <c r="L795" s="6"/>
      <c r="M795" s="6"/>
      <c r="N795" s="6"/>
    </row>
    <row r="796" spans="11:14" ht="13.2" x14ac:dyDescent="0.25">
      <c r="K796" s="6"/>
      <c r="L796" s="6"/>
      <c r="M796" s="6"/>
      <c r="N796" s="6"/>
    </row>
    <row r="797" spans="11:14" ht="13.2" x14ac:dyDescent="0.25">
      <c r="K797" s="6"/>
      <c r="L797" s="6"/>
      <c r="M797" s="6"/>
      <c r="N797" s="6"/>
    </row>
    <row r="798" spans="11:14" ht="13.2" x14ac:dyDescent="0.25">
      <c r="K798" s="6"/>
      <c r="L798" s="6"/>
      <c r="M798" s="6"/>
      <c r="N798" s="6"/>
    </row>
    <row r="799" spans="11:14" ht="13.2" x14ac:dyDescent="0.25">
      <c r="K799" s="6"/>
      <c r="L799" s="6"/>
      <c r="M799" s="6"/>
      <c r="N799" s="6"/>
    </row>
    <row r="800" spans="11:14" ht="13.2" x14ac:dyDescent="0.25">
      <c r="K800" s="6"/>
      <c r="L800" s="6"/>
      <c r="M800" s="6"/>
      <c r="N800" s="6"/>
    </row>
    <row r="801" spans="11:14" ht="13.2" x14ac:dyDescent="0.25">
      <c r="K801" s="6"/>
      <c r="L801" s="6"/>
      <c r="M801" s="6"/>
      <c r="N801" s="6"/>
    </row>
    <row r="802" spans="11:14" ht="13.2" x14ac:dyDescent="0.25">
      <c r="K802" s="6"/>
      <c r="L802" s="6"/>
      <c r="M802" s="6"/>
      <c r="N802" s="6"/>
    </row>
    <row r="803" spans="11:14" ht="13.2" x14ac:dyDescent="0.25">
      <c r="K803" s="6"/>
      <c r="L803" s="6"/>
      <c r="M803" s="6"/>
      <c r="N803" s="6"/>
    </row>
    <row r="804" spans="11:14" ht="13.2" x14ac:dyDescent="0.25">
      <c r="K804" s="6"/>
      <c r="L804" s="6"/>
      <c r="M804" s="6"/>
      <c r="N804" s="6"/>
    </row>
    <row r="805" spans="11:14" ht="13.2" x14ac:dyDescent="0.25">
      <c r="K805" s="6"/>
      <c r="L805" s="6"/>
      <c r="M805" s="6"/>
      <c r="N805" s="6"/>
    </row>
    <row r="806" spans="11:14" ht="13.2" x14ac:dyDescent="0.25">
      <c r="K806" s="6"/>
      <c r="L806" s="6"/>
      <c r="M806" s="6"/>
      <c r="N806" s="6"/>
    </row>
    <row r="807" spans="11:14" ht="13.2" x14ac:dyDescent="0.25">
      <c r="K807" s="6"/>
      <c r="L807" s="6"/>
      <c r="M807" s="6"/>
      <c r="N807" s="6"/>
    </row>
    <row r="808" spans="11:14" ht="13.2" x14ac:dyDescent="0.25">
      <c r="K808" s="6"/>
      <c r="L808" s="6"/>
      <c r="M808" s="6"/>
      <c r="N808" s="6"/>
    </row>
    <row r="809" spans="11:14" ht="13.2" x14ac:dyDescent="0.25">
      <c r="K809" s="6"/>
      <c r="L809" s="6"/>
      <c r="M809" s="6"/>
      <c r="N809" s="6"/>
    </row>
    <row r="810" spans="11:14" ht="13.2" x14ac:dyDescent="0.25">
      <c r="K810" s="6"/>
      <c r="L810" s="6"/>
      <c r="M810" s="6"/>
      <c r="N810" s="6"/>
    </row>
    <row r="811" spans="11:14" ht="13.2" x14ac:dyDescent="0.25">
      <c r="K811" s="6"/>
      <c r="L811" s="6"/>
      <c r="M811" s="6"/>
      <c r="N811" s="6"/>
    </row>
    <row r="812" spans="11:14" ht="13.2" x14ac:dyDescent="0.25">
      <c r="K812" s="6"/>
      <c r="L812" s="6"/>
      <c r="M812" s="6"/>
      <c r="N812" s="6"/>
    </row>
    <row r="813" spans="11:14" ht="13.2" x14ac:dyDescent="0.25">
      <c r="K813" s="6"/>
      <c r="L813" s="6"/>
      <c r="M813" s="6"/>
      <c r="N813" s="6"/>
    </row>
    <row r="814" spans="11:14" ht="13.2" x14ac:dyDescent="0.25">
      <c r="K814" s="6"/>
      <c r="L814" s="6"/>
      <c r="M814" s="6"/>
      <c r="N814" s="6"/>
    </row>
    <row r="815" spans="11:14" ht="13.2" x14ac:dyDescent="0.25">
      <c r="K815" s="6"/>
      <c r="L815" s="6"/>
      <c r="M815" s="6"/>
      <c r="N815" s="6"/>
    </row>
    <row r="816" spans="11:14" ht="13.2" x14ac:dyDescent="0.25">
      <c r="K816" s="6"/>
      <c r="L816" s="6"/>
      <c r="M816" s="6"/>
      <c r="N816" s="6"/>
    </row>
    <row r="817" spans="11:14" ht="13.2" x14ac:dyDescent="0.25">
      <c r="K817" s="6"/>
      <c r="L817" s="6"/>
      <c r="M817" s="6"/>
      <c r="N817" s="6"/>
    </row>
    <row r="818" spans="11:14" ht="13.2" x14ac:dyDescent="0.25">
      <c r="K818" s="6"/>
      <c r="L818" s="6"/>
      <c r="M818" s="6"/>
      <c r="N818" s="6"/>
    </row>
    <row r="819" spans="11:14" ht="13.2" x14ac:dyDescent="0.25">
      <c r="K819" s="6"/>
      <c r="L819" s="6"/>
      <c r="M819" s="6"/>
      <c r="N819" s="6"/>
    </row>
    <row r="820" spans="11:14" ht="13.2" x14ac:dyDescent="0.25">
      <c r="K820" s="6"/>
      <c r="L820" s="6"/>
      <c r="M820" s="6"/>
      <c r="N820" s="6"/>
    </row>
    <row r="821" spans="11:14" ht="13.2" x14ac:dyDescent="0.25">
      <c r="K821" s="6"/>
      <c r="L821" s="6"/>
      <c r="M821" s="6"/>
      <c r="N821" s="6"/>
    </row>
    <row r="822" spans="11:14" ht="13.2" x14ac:dyDescent="0.25">
      <c r="K822" s="6"/>
      <c r="L822" s="6"/>
      <c r="M822" s="6"/>
      <c r="N822" s="6"/>
    </row>
    <row r="823" spans="11:14" ht="13.2" x14ac:dyDescent="0.25">
      <c r="K823" s="6"/>
      <c r="L823" s="6"/>
      <c r="M823" s="6"/>
      <c r="N823" s="6"/>
    </row>
    <row r="824" spans="11:14" ht="13.2" x14ac:dyDescent="0.25">
      <c r="K824" s="6"/>
      <c r="L824" s="6"/>
      <c r="M824" s="6"/>
      <c r="N824" s="6"/>
    </row>
    <row r="825" spans="11:14" ht="13.2" x14ac:dyDescent="0.25">
      <c r="K825" s="6"/>
      <c r="L825" s="6"/>
      <c r="M825" s="6"/>
      <c r="N825" s="6"/>
    </row>
    <row r="826" spans="11:14" ht="13.2" x14ac:dyDescent="0.25">
      <c r="K826" s="6"/>
      <c r="L826" s="6"/>
      <c r="M826" s="6"/>
      <c r="N826" s="6"/>
    </row>
    <row r="827" spans="11:14" ht="13.2" x14ac:dyDescent="0.25">
      <c r="K827" s="6"/>
      <c r="L827" s="6"/>
      <c r="M827" s="6"/>
      <c r="N827" s="6"/>
    </row>
    <row r="828" spans="11:14" ht="13.2" x14ac:dyDescent="0.25">
      <c r="K828" s="6"/>
      <c r="L828" s="6"/>
      <c r="M828" s="6"/>
      <c r="N828" s="6"/>
    </row>
    <row r="829" spans="11:14" ht="13.2" x14ac:dyDescent="0.25">
      <c r="K829" s="6"/>
      <c r="L829" s="6"/>
      <c r="M829" s="6"/>
      <c r="N829" s="6"/>
    </row>
    <row r="830" spans="11:14" ht="13.2" x14ac:dyDescent="0.25">
      <c r="K830" s="6"/>
      <c r="L830" s="6"/>
      <c r="M830" s="6"/>
      <c r="N830" s="6"/>
    </row>
    <row r="831" spans="11:14" ht="13.2" x14ac:dyDescent="0.25">
      <c r="K831" s="6"/>
      <c r="L831" s="6"/>
      <c r="M831" s="6"/>
      <c r="N831" s="6"/>
    </row>
    <row r="832" spans="11:14" ht="13.2" x14ac:dyDescent="0.25">
      <c r="K832" s="6"/>
      <c r="L832" s="6"/>
      <c r="M832" s="6"/>
      <c r="N832" s="6"/>
    </row>
    <row r="833" spans="11:14" ht="13.2" x14ac:dyDescent="0.25">
      <c r="K833" s="6"/>
      <c r="L833" s="6"/>
      <c r="M833" s="6"/>
      <c r="N833" s="6"/>
    </row>
    <row r="834" spans="11:14" ht="13.2" x14ac:dyDescent="0.25">
      <c r="K834" s="6"/>
      <c r="L834" s="6"/>
      <c r="M834" s="6"/>
      <c r="N834" s="6"/>
    </row>
    <row r="835" spans="11:14" ht="13.2" x14ac:dyDescent="0.25">
      <c r="K835" s="6"/>
      <c r="L835" s="6"/>
      <c r="M835" s="6"/>
      <c r="N835" s="6"/>
    </row>
    <row r="836" spans="11:14" ht="13.2" x14ac:dyDescent="0.25">
      <c r="K836" s="6"/>
      <c r="L836" s="6"/>
      <c r="M836" s="6"/>
      <c r="N836" s="6"/>
    </row>
    <row r="837" spans="11:14" ht="13.2" x14ac:dyDescent="0.25">
      <c r="K837" s="6"/>
      <c r="L837" s="6"/>
      <c r="M837" s="6"/>
      <c r="N837" s="6"/>
    </row>
    <row r="838" spans="11:14" ht="13.2" x14ac:dyDescent="0.25">
      <c r="K838" s="6"/>
      <c r="L838" s="6"/>
      <c r="M838" s="6"/>
      <c r="N838" s="6"/>
    </row>
    <row r="839" spans="11:14" ht="13.2" x14ac:dyDescent="0.25">
      <c r="K839" s="6"/>
      <c r="L839" s="6"/>
      <c r="M839" s="6"/>
      <c r="N839" s="6"/>
    </row>
    <row r="840" spans="11:14" ht="13.2" x14ac:dyDescent="0.25">
      <c r="K840" s="6"/>
      <c r="L840" s="6"/>
      <c r="M840" s="6"/>
      <c r="N840" s="6"/>
    </row>
    <row r="841" spans="11:14" ht="13.2" x14ac:dyDescent="0.25">
      <c r="K841" s="6"/>
      <c r="L841" s="6"/>
      <c r="M841" s="6"/>
      <c r="N841" s="6"/>
    </row>
    <row r="842" spans="11:14" ht="13.2" x14ac:dyDescent="0.25">
      <c r="K842" s="6"/>
      <c r="L842" s="6"/>
      <c r="M842" s="6"/>
      <c r="N842" s="6"/>
    </row>
    <row r="843" spans="11:14" ht="13.2" x14ac:dyDescent="0.25">
      <c r="K843" s="6"/>
      <c r="L843" s="6"/>
      <c r="M843" s="6"/>
      <c r="N843" s="6"/>
    </row>
    <row r="844" spans="11:14" ht="13.2" x14ac:dyDescent="0.25">
      <c r="K844" s="6"/>
      <c r="L844" s="6"/>
      <c r="M844" s="6"/>
      <c r="N844" s="6"/>
    </row>
    <row r="845" spans="11:14" ht="13.2" x14ac:dyDescent="0.25">
      <c r="K845" s="6"/>
      <c r="L845" s="6"/>
      <c r="M845" s="6"/>
      <c r="N845" s="6"/>
    </row>
    <row r="846" spans="11:14" ht="13.2" x14ac:dyDescent="0.25">
      <c r="K846" s="6"/>
      <c r="L846" s="6"/>
      <c r="M846" s="6"/>
      <c r="N846" s="6"/>
    </row>
    <row r="847" spans="11:14" ht="13.2" x14ac:dyDescent="0.25">
      <c r="K847" s="6"/>
      <c r="L847" s="6"/>
      <c r="M847" s="6"/>
      <c r="N847" s="6"/>
    </row>
    <row r="848" spans="11:14" ht="13.2" x14ac:dyDescent="0.25">
      <c r="K848" s="6"/>
      <c r="L848" s="6"/>
      <c r="M848" s="6"/>
      <c r="N848" s="6"/>
    </row>
    <row r="849" spans="11:14" ht="13.2" x14ac:dyDescent="0.25">
      <c r="K849" s="6"/>
      <c r="L849" s="6"/>
      <c r="M849" s="6"/>
      <c r="N849" s="6"/>
    </row>
    <row r="850" spans="11:14" ht="13.2" x14ac:dyDescent="0.25">
      <c r="K850" s="6"/>
      <c r="L850" s="6"/>
      <c r="M850" s="6"/>
      <c r="N850" s="6"/>
    </row>
    <row r="851" spans="11:14" ht="13.2" x14ac:dyDescent="0.25">
      <c r="K851" s="6"/>
      <c r="L851" s="6"/>
      <c r="M851" s="6"/>
      <c r="N851" s="6"/>
    </row>
    <row r="852" spans="11:14" ht="13.2" x14ac:dyDescent="0.25">
      <c r="K852" s="6"/>
      <c r="L852" s="6"/>
      <c r="M852" s="6"/>
      <c r="N852" s="6"/>
    </row>
    <row r="853" spans="11:14" ht="13.2" x14ac:dyDescent="0.25">
      <c r="K853" s="6"/>
      <c r="L853" s="6"/>
      <c r="M853" s="6"/>
      <c r="N853" s="6"/>
    </row>
    <row r="854" spans="11:14" ht="13.2" x14ac:dyDescent="0.25">
      <c r="K854" s="6"/>
      <c r="L854" s="6"/>
      <c r="M854" s="6"/>
      <c r="N854" s="6"/>
    </row>
    <row r="855" spans="11:14" ht="13.2" x14ac:dyDescent="0.25">
      <c r="K855" s="6"/>
      <c r="L855" s="6"/>
      <c r="M855" s="6"/>
      <c r="N855" s="6"/>
    </row>
    <row r="856" spans="11:14" ht="13.2" x14ac:dyDescent="0.25">
      <c r="K856" s="6"/>
      <c r="L856" s="6"/>
      <c r="M856" s="6"/>
      <c r="N856" s="6"/>
    </row>
    <row r="857" spans="11:14" ht="13.2" x14ac:dyDescent="0.25">
      <c r="K857" s="6"/>
      <c r="L857" s="6"/>
      <c r="M857" s="6"/>
      <c r="N857" s="6"/>
    </row>
    <row r="858" spans="11:14" ht="13.2" x14ac:dyDescent="0.25">
      <c r="K858" s="6"/>
      <c r="L858" s="6"/>
      <c r="M858" s="6"/>
      <c r="N858" s="6"/>
    </row>
    <row r="859" spans="11:14" ht="13.2" x14ac:dyDescent="0.25">
      <c r="K859" s="6"/>
      <c r="L859" s="6"/>
      <c r="M859" s="6"/>
      <c r="N859" s="6"/>
    </row>
    <row r="860" spans="11:14" ht="13.2" x14ac:dyDescent="0.25">
      <c r="K860" s="6"/>
      <c r="L860" s="6"/>
      <c r="M860" s="6"/>
      <c r="N860" s="6"/>
    </row>
    <row r="861" spans="11:14" ht="13.2" x14ac:dyDescent="0.25">
      <c r="K861" s="6"/>
      <c r="L861" s="6"/>
      <c r="M861" s="6"/>
      <c r="N861" s="6"/>
    </row>
    <row r="862" spans="11:14" ht="13.2" x14ac:dyDescent="0.25">
      <c r="K862" s="6"/>
      <c r="L862" s="6"/>
      <c r="M862" s="6"/>
      <c r="N862" s="6"/>
    </row>
    <row r="863" spans="11:14" ht="13.2" x14ac:dyDescent="0.25">
      <c r="K863" s="6"/>
      <c r="L863" s="6"/>
      <c r="M863" s="6"/>
      <c r="N863" s="6"/>
    </row>
    <row r="864" spans="11:14" ht="13.2" x14ac:dyDescent="0.25">
      <c r="K864" s="6"/>
      <c r="L864" s="6"/>
      <c r="M864" s="6"/>
      <c r="N864" s="6"/>
    </row>
    <row r="865" spans="11:14" ht="13.2" x14ac:dyDescent="0.25">
      <c r="K865" s="6"/>
      <c r="L865" s="6"/>
      <c r="M865" s="6"/>
      <c r="N865" s="6"/>
    </row>
    <row r="866" spans="11:14" ht="13.2" x14ac:dyDescent="0.25">
      <c r="K866" s="6"/>
      <c r="L866" s="6"/>
      <c r="M866" s="6"/>
      <c r="N866" s="6"/>
    </row>
    <row r="867" spans="11:14" ht="13.2" x14ac:dyDescent="0.25">
      <c r="K867" s="6"/>
      <c r="L867" s="6"/>
      <c r="M867" s="6"/>
      <c r="N867" s="6"/>
    </row>
    <row r="868" spans="11:14" ht="13.2" x14ac:dyDescent="0.25">
      <c r="K868" s="6"/>
      <c r="L868" s="6"/>
      <c r="M868" s="6"/>
      <c r="N868" s="6"/>
    </row>
    <row r="869" spans="11:14" ht="13.2" x14ac:dyDescent="0.25">
      <c r="K869" s="6"/>
      <c r="L869" s="6"/>
      <c r="M869" s="6"/>
      <c r="N869" s="6"/>
    </row>
    <row r="870" spans="11:14" ht="13.2" x14ac:dyDescent="0.25">
      <c r="K870" s="6"/>
      <c r="L870" s="6"/>
      <c r="M870" s="6"/>
      <c r="N870" s="6"/>
    </row>
    <row r="871" spans="11:14" ht="13.2" x14ac:dyDescent="0.25">
      <c r="K871" s="6"/>
      <c r="L871" s="6"/>
      <c r="M871" s="6"/>
      <c r="N871" s="6"/>
    </row>
    <row r="872" spans="11:14" ht="13.2" x14ac:dyDescent="0.25">
      <c r="K872" s="6"/>
      <c r="L872" s="6"/>
      <c r="M872" s="6"/>
      <c r="N872" s="6"/>
    </row>
    <row r="873" spans="11:14" ht="13.2" x14ac:dyDescent="0.25">
      <c r="K873" s="6"/>
      <c r="L873" s="6"/>
      <c r="M873" s="6"/>
      <c r="N873" s="6"/>
    </row>
    <row r="874" spans="11:14" ht="13.2" x14ac:dyDescent="0.25">
      <c r="K874" s="6"/>
      <c r="L874" s="6"/>
      <c r="M874" s="6"/>
      <c r="N874" s="6"/>
    </row>
    <row r="875" spans="11:14" ht="13.2" x14ac:dyDescent="0.25">
      <c r="K875" s="6"/>
      <c r="L875" s="6"/>
      <c r="M875" s="6"/>
      <c r="N875" s="6"/>
    </row>
    <row r="876" spans="11:14" ht="13.2" x14ac:dyDescent="0.25">
      <c r="K876" s="6"/>
      <c r="L876" s="6"/>
      <c r="M876" s="6"/>
      <c r="N876" s="6"/>
    </row>
    <row r="877" spans="11:14" ht="13.2" x14ac:dyDescent="0.25">
      <c r="K877" s="6"/>
      <c r="L877" s="6"/>
      <c r="M877" s="6"/>
      <c r="N877" s="6"/>
    </row>
    <row r="878" spans="11:14" ht="13.2" x14ac:dyDescent="0.25">
      <c r="K878" s="6"/>
      <c r="L878" s="6"/>
      <c r="M878" s="6"/>
      <c r="N878" s="6"/>
    </row>
    <row r="879" spans="11:14" ht="13.2" x14ac:dyDescent="0.25">
      <c r="K879" s="6"/>
      <c r="L879" s="6"/>
      <c r="M879" s="6"/>
      <c r="N879" s="6"/>
    </row>
    <row r="880" spans="11:14" ht="13.2" x14ac:dyDescent="0.25">
      <c r="K880" s="6"/>
      <c r="L880" s="6"/>
      <c r="M880" s="6"/>
      <c r="N880" s="6"/>
    </row>
    <row r="881" spans="11:14" ht="13.2" x14ac:dyDescent="0.25">
      <c r="K881" s="6"/>
      <c r="L881" s="6"/>
      <c r="M881" s="6"/>
      <c r="N881" s="6"/>
    </row>
    <row r="882" spans="11:14" ht="13.2" x14ac:dyDescent="0.25">
      <c r="K882" s="6"/>
      <c r="L882" s="6"/>
      <c r="M882" s="6"/>
      <c r="N882" s="6"/>
    </row>
    <row r="883" spans="11:14" ht="13.2" x14ac:dyDescent="0.25">
      <c r="K883" s="6"/>
      <c r="L883" s="6"/>
      <c r="M883" s="6"/>
      <c r="N883" s="6"/>
    </row>
    <row r="884" spans="11:14" ht="13.2" x14ac:dyDescent="0.25">
      <c r="K884" s="6"/>
      <c r="L884" s="6"/>
      <c r="M884" s="6"/>
      <c r="N884" s="6"/>
    </row>
    <row r="885" spans="11:14" ht="13.2" x14ac:dyDescent="0.25">
      <c r="K885" s="6"/>
      <c r="L885" s="6"/>
      <c r="M885" s="6"/>
      <c r="N885" s="6"/>
    </row>
    <row r="886" spans="11:14" ht="13.2" x14ac:dyDescent="0.25">
      <c r="K886" s="6"/>
      <c r="L886" s="6"/>
      <c r="M886" s="6"/>
      <c r="N886" s="6"/>
    </row>
    <row r="887" spans="11:14" ht="13.2" x14ac:dyDescent="0.25">
      <c r="K887" s="6"/>
      <c r="L887" s="6"/>
      <c r="M887" s="6"/>
      <c r="N887" s="6"/>
    </row>
    <row r="888" spans="11:14" ht="13.2" x14ac:dyDescent="0.25">
      <c r="K888" s="6"/>
      <c r="L888" s="6"/>
      <c r="M888" s="6"/>
      <c r="N888" s="6"/>
    </row>
    <row r="889" spans="11:14" ht="13.2" x14ac:dyDescent="0.25">
      <c r="K889" s="6"/>
      <c r="L889" s="6"/>
      <c r="M889" s="6"/>
      <c r="N889" s="6"/>
    </row>
    <row r="890" spans="11:14" ht="13.2" x14ac:dyDescent="0.25">
      <c r="K890" s="6"/>
      <c r="L890" s="6"/>
      <c r="M890" s="6"/>
      <c r="N890" s="6"/>
    </row>
    <row r="891" spans="11:14" ht="13.2" x14ac:dyDescent="0.25">
      <c r="K891" s="6"/>
      <c r="L891" s="6"/>
      <c r="M891" s="6"/>
      <c r="N891" s="6"/>
    </row>
    <row r="892" spans="11:14" ht="13.2" x14ac:dyDescent="0.25">
      <c r="K892" s="6"/>
      <c r="L892" s="6"/>
      <c r="M892" s="6"/>
      <c r="N892" s="6"/>
    </row>
    <row r="893" spans="11:14" ht="13.2" x14ac:dyDescent="0.25">
      <c r="K893" s="6"/>
      <c r="L893" s="6"/>
      <c r="M893" s="6"/>
      <c r="N893" s="6"/>
    </row>
    <row r="894" spans="11:14" ht="13.2" x14ac:dyDescent="0.25">
      <c r="K894" s="6"/>
      <c r="L894" s="6"/>
      <c r="M894" s="6"/>
      <c r="N894" s="6"/>
    </row>
    <row r="895" spans="11:14" ht="13.2" x14ac:dyDescent="0.25">
      <c r="K895" s="6"/>
      <c r="L895" s="6"/>
      <c r="M895" s="6"/>
      <c r="N895" s="6"/>
    </row>
    <row r="896" spans="11:14" ht="13.2" x14ac:dyDescent="0.25">
      <c r="K896" s="6"/>
      <c r="L896" s="6"/>
      <c r="M896" s="6"/>
      <c r="N896" s="6"/>
    </row>
    <row r="897" spans="11:14" ht="13.2" x14ac:dyDescent="0.25">
      <c r="K897" s="6"/>
      <c r="L897" s="6"/>
      <c r="M897" s="6"/>
      <c r="N897" s="6"/>
    </row>
    <row r="898" spans="11:14" ht="13.2" x14ac:dyDescent="0.25">
      <c r="K898" s="6"/>
      <c r="L898" s="6"/>
      <c r="M898" s="6"/>
      <c r="N898" s="6"/>
    </row>
    <row r="899" spans="11:14" ht="13.2" x14ac:dyDescent="0.25">
      <c r="K899" s="6"/>
      <c r="L899" s="6"/>
      <c r="M899" s="6"/>
      <c r="N899" s="6"/>
    </row>
    <row r="900" spans="11:14" ht="13.2" x14ac:dyDescent="0.25">
      <c r="K900" s="6"/>
      <c r="L900" s="6"/>
      <c r="M900" s="6"/>
      <c r="N900" s="6"/>
    </row>
    <row r="901" spans="11:14" ht="13.2" x14ac:dyDescent="0.25">
      <c r="K901" s="6"/>
      <c r="L901" s="6"/>
      <c r="M901" s="6"/>
      <c r="N901" s="6"/>
    </row>
    <row r="902" spans="11:14" ht="13.2" x14ac:dyDescent="0.25">
      <c r="K902" s="6"/>
      <c r="L902" s="6"/>
      <c r="M902" s="6"/>
      <c r="N902" s="6"/>
    </row>
    <row r="903" spans="11:14" ht="13.2" x14ac:dyDescent="0.25">
      <c r="K903" s="6"/>
      <c r="L903" s="6"/>
      <c r="M903" s="6"/>
      <c r="N903" s="6"/>
    </row>
    <row r="904" spans="11:14" ht="13.2" x14ac:dyDescent="0.25">
      <c r="K904" s="6"/>
      <c r="L904" s="6"/>
      <c r="M904" s="6"/>
      <c r="N904" s="6"/>
    </row>
    <row r="905" spans="11:14" ht="13.2" x14ac:dyDescent="0.25">
      <c r="K905" s="6"/>
      <c r="L905" s="6"/>
      <c r="M905" s="6"/>
      <c r="N905" s="6"/>
    </row>
    <row r="906" spans="11:14" ht="13.2" x14ac:dyDescent="0.25">
      <c r="K906" s="6"/>
      <c r="L906" s="6"/>
      <c r="M906" s="6"/>
      <c r="N906" s="6"/>
    </row>
    <row r="907" spans="11:14" ht="13.2" x14ac:dyDescent="0.25">
      <c r="K907" s="6"/>
      <c r="L907" s="6"/>
      <c r="M907" s="6"/>
      <c r="N907" s="6"/>
    </row>
    <row r="908" spans="11:14" ht="13.2" x14ac:dyDescent="0.25">
      <c r="K908" s="6"/>
      <c r="L908" s="6"/>
      <c r="M908" s="6"/>
      <c r="N908" s="6"/>
    </row>
    <row r="909" spans="11:14" ht="13.2" x14ac:dyDescent="0.25">
      <c r="K909" s="6"/>
      <c r="L909" s="6"/>
      <c r="M909" s="6"/>
      <c r="N909" s="6"/>
    </row>
    <row r="910" spans="11:14" ht="13.2" x14ac:dyDescent="0.25">
      <c r="K910" s="6"/>
      <c r="L910" s="6"/>
      <c r="M910" s="6"/>
      <c r="N910" s="6"/>
    </row>
    <row r="911" spans="11:14" ht="13.2" x14ac:dyDescent="0.25">
      <c r="K911" s="6"/>
      <c r="L911" s="6"/>
      <c r="M911" s="6"/>
      <c r="N911" s="6"/>
    </row>
    <row r="912" spans="11:14" ht="13.2" x14ac:dyDescent="0.25">
      <c r="K912" s="6"/>
      <c r="L912" s="6"/>
      <c r="M912" s="6"/>
      <c r="N912" s="6"/>
    </row>
    <row r="913" spans="11:14" ht="13.2" x14ac:dyDescent="0.25">
      <c r="K913" s="6"/>
      <c r="L913" s="6"/>
      <c r="M913" s="6"/>
      <c r="N913" s="6"/>
    </row>
    <row r="914" spans="11:14" ht="13.2" x14ac:dyDescent="0.25">
      <c r="K914" s="6"/>
      <c r="L914" s="6"/>
      <c r="M914" s="6"/>
      <c r="N914" s="6"/>
    </row>
    <row r="915" spans="11:14" ht="13.2" x14ac:dyDescent="0.25">
      <c r="K915" s="6"/>
      <c r="L915" s="6"/>
      <c r="M915" s="6"/>
      <c r="N915" s="6"/>
    </row>
    <row r="916" spans="11:14" ht="13.2" x14ac:dyDescent="0.25">
      <c r="K916" s="6"/>
      <c r="L916" s="6"/>
      <c r="M916" s="6"/>
      <c r="N916" s="6"/>
    </row>
    <row r="917" spans="11:14" ht="13.2" x14ac:dyDescent="0.25">
      <c r="K917" s="6"/>
      <c r="L917" s="6"/>
      <c r="M917" s="6"/>
      <c r="N917" s="6"/>
    </row>
    <row r="918" spans="11:14" ht="13.2" x14ac:dyDescent="0.25">
      <c r="K918" s="6"/>
      <c r="L918" s="6"/>
      <c r="M918" s="6"/>
      <c r="N918" s="6"/>
    </row>
    <row r="919" spans="11:14" ht="13.2" x14ac:dyDescent="0.25">
      <c r="K919" s="6"/>
      <c r="L919" s="6"/>
      <c r="M919" s="6"/>
      <c r="N919" s="6"/>
    </row>
    <row r="920" spans="11:14" ht="13.2" x14ac:dyDescent="0.25">
      <c r="K920" s="6"/>
      <c r="L920" s="6"/>
      <c r="M920" s="6"/>
      <c r="N920" s="6"/>
    </row>
    <row r="921" spans="11:14" ht="13.2" x14ac:dyDescent="0.25">
      <c r="K921" s="6"/>
      <c r="L921" s="6"/>
      <c r="M921" s="6"/>
      <c r="N921" s="6"/>
    </row>
    <row r="922" spans="11:14" ht="13.2" x14ac:dyDescent="0.25">
      <c r="K922" s="6"/>
      <c r="L922" s="6"/>
      <c r="M922" s="6"/>
      <c r="N922" s="6"/>
    </row>
    <row r="923" spans="11:14" ht="13.2" x14ac:dyDescent="0.25">
      <c r="K923" s="6"/>
      <c r="L923" s="6"/>
      <c r="M923" s="6"/>
      <c r="N923" s="6"/>
    </row>
    <row r="924" spans="11:14" ht="13.2" x14ac:dyDescent="0.25">
      <c r="K924" s="6"/>
      <c r="L924" s="6"/>
      <c r="M924" s="6"/>
      <c r="N924" s="6"/>
    </row>
    <row r="925" spans="11:14" ht="13.2" x14ac:dyDescent="0.25">
      <c r="K925" s="6"/>
      <c r="L925" s="6"/>
      <c r="M925" s="6"/>
      <c r="N925" s="6"/>
    </row>
    <row r="926" spans="11:14" ht="13.2" x14ac:dyDescent="0.25">
      <c r="K926" s="6"/>
      <c r="L926" s="6"/>
      <c r="M926" s="6"/>
      <c r="N926" s="6"/>
    </row>
    <row r="927" spans="11:14" ht="13.2" x14ac:dyDescent="0.25">
      <c r="K927" s="6"/>
      <c r="L927" s="6"/>
      <c r="M927" s="6"/>
      <c r="N927" s="6"/>
    </row>
    <row r="928" spans="11:14" ht="13.2" x14ac:dyDescent="0.25">
      <c r="K928" s="6"/>
      <c r="L928" s="6"/>
      <c r="M928" s="6"/>
      <c r="N928" s="6"/>
    </row>
    <row r="929" spans="11:14" ht="13.2" x14ac:dyDescent="0.25">
      <c r="K929" s="6"/>
      <c r="L929" s="6"/>
      <c r="M929" s="6"/>
      <c r="N929" s="6"/>
    </row>
    <row r="930" spans="11:14" ht="13.2" x14ac:dyDescent="0.25">
      <c r="K930" s="6"/>
      <c r="L930" s="6"/>
      <c r="M930" s="6"/>
      <c r="N930" s="6"/>
    </row>
    <row r="931" spans="11:14" ht="13.2" x14ac:dyDescent="0.25">
      <c r="K931" s="6"/>
      <c r="L931" s="6"/>
      <c r="M931" s="6"/>
      <c r="N931" s="6"/>
    </row>
    <row r="932" spans="11:14" ht="13.2" x14ac:dyDescent="0.25">
      <c r="K932" s="6"/>
      <c r="L932" s="6"/>
      <c r="M932" s="6"/>
      <c r="N932" s="6"/>
    </row>
    <row r="933" spans="11:14" ht="13.2" x14ac:dyDescent="0.25">
      <c r="K933" s="6"/>
      <c r="L933" s="6"/>
      <c r="M933" s="6"/>
      <c r="N933" s="6"/>
    </row>
    <row r="934" spans="11:14" ht="13.2" x14ac:dyDescent="0.25">
      <c r="K934" s="6"/>
      <c r="L934" s="6"/>
      <c r="M934" s="6"/>
      <c r="N934" s="6"/>
    </row>
    <row r="935" spans="11:14" ht="13.2" x14ac:dyDescent="0.25">
      <c r="K935" s="6"/>
      <c r="L935" s="6"/>
      <c r="M935" s="6"/>
      <c r="N935" s="6"/>
    </row>
    <row r="936" spans="11:14" ht="13.2" x14ac:dyDescent="0.25">
      <c r="K936" s="6"/>
      <c r="L936" s="6"/>
      <c r="M936" s="6"/>
      <c r="N936" s="6"/>
    </row>
    <row r="937" spans="11:14" ht="13.2" x14ac:dyDescent="0.25">
      <c r="K937" s="6"/>
      <c r="L937" s="6"/>
      <c r="M937" s="6"/>
      <c r="N937" s="6"/>
    </row>
    <row r="938" spans="11:14" ht="13.2" x14ac:dyDescent="0.25">
      <c r="K938" s="6"/>
      <c r="L938" s="6"/>
      <c r="M938" s="6"/>
      <c r="N938" s="6"/>
    </row>
    <row r="939" spans="11:14" ht="13.2" x14ac:dyDescent="0.25">
      <c r="K939" s="6"/>
      <c r="L939" s="6"/>
      <c r="M939" s="6"/>
      <c r="N939" s="6"/>
    </row>
    <row r="940" spans="11:14" ht="13.2" x14ac:dyDescent="0.25">
      <c r="K940" s="6"/>
      <c r="L940" s="6"/>
      <c r="M940" s="6"/>
      <c r="N940" s="6"/>
    </row>
    <row r="941" spans="11:14" ht="13.2" x14ac:dyDescent="0.25">
      <c r="K941" s="6"/>
      <c r="L941" s="6"/>
      <c r="M941" s="6"/>
      <c r="N941" s="6"/>
    </row>
    <row r="942" spans="11:14" ht="13.2" x14ac:dyDescent="0.25">
      <c r="K942" s="6"/>
      <c r="L942" s="6"/>
      <c r="M942" s="6"/>
      <c r="N942" s="6"/>
    </row>
    <row r="943" spans="11:14" ht="13.2" x14ac:dyDescent="0.25">
      <c r="K943" s="6"/>
      <c r="L943" s="6"/>
      <c r="M943" s="6"/>
      <c r="N943" s="6"/>
    </row>
    <row r="944" spans="11:14" ht="13.2" x14ac:dyDescent="0.25">
      <c r="K944" s="6"/>
      <c r="L944" s="6"/>
      <c r="M944" s="6"/>
      <c r="N944" s="6"/>
    </row>
    <row r="945" spans="11:14" ht="13.2" x14ac:dyDescent="0.25">
      <c r="K945" s="6"/>
      <c r="L945" s="6"/>
      <c r="M945" s="6"/>
      <c r="N945" s="6"/>
    </row>
    <row r="946" spans="11:14" ht="13.2" x14ac:dyDescent="0.25">
      <c r="K946" s="6"/>
      <c r="L946" s="6"/>
      <c r="M946" s="6"/>
      <c r="N946" s="6"/>
    </row>
    <row r="947" spans="11:14" ht="13.2" x14ac:dyDescent="0.25">
      <c r="K947" s="6"/>
      <c r="L947" s="6"/>
      <c r="M947" s="6"/>
      <c r="N947" s="6"/>
    </row>
    <row r="948" spans="11:14" ht="13.2" x14ac:dyDescent="0.25">
      <c r="K948" s="6"/>
      <c r="L948" s="6"/>
      <c r="M948" s="6"/>
      <c r="N948" s="6"/>
    </row>
    <row r="949" spans="11:14" ht="13.2" x14ac:dyDescent="0.25">
      <c r="K949" s="6"/>
      <c r="L949" s="6"/>
      <c r="M949" s="6"/>
      <c r="N949" s="6"/>
    </row>
    <row r="950" spans="11:14" ht="13.2" x14ac:dyDescent="0.25">
      <c r="K950" s="6"/>
      <c r="L950" s="6"/>
      <c r="M950" s="6"/>
      <c r="N950" s="6"/>
    </row>
    <row r="951" spans="11:14" ht="13.2" x14ac:dyDescent="0.25">
      <c r="K951" s="6"/>
      <c r="L951" s="6"/>
      <c r="M951" s="6"/>
      <c r="N951" s="6"/>
    </row>
    <row r="952" spans="11:14" ht="13.2" x14ac:dyDescent="0.25">
      <c r="K952" s="6"/>
      <c r="L952" s="6"/>
      <c r="M952" s="6"/>
      <c r="N952" s="6"/>
    </row>
    <row r="953" spans="11:14" ht="13.2" x14ac:dyDescent="0.25">
      <c r="K953" s="6"/>
      <c r="L953" s="6"/>
      <c r="M953" s="6"/>
      <c r="N953" s="6"/>
    </row>
    <row r="954" spans="11:14" ht="13.2" x14ac:dyDescent="0.25">
      <c r="K954" s="6"/>
      <c r="L954" s="6"/>
      <c r="M954" s="6"/>
      <c r="N954" s="6"/>
    </row>
    <row r="955" spans="11:14" ht="13.2" x14ac:dyDescent="0.25">
      <c r="K955" s="6"/>
      <c r="L955" s="6"/>
      <c r="M955" s="6"/>
      <c r="N955" s="6"/>
    </row>
    <row r="956" spans="11:14" ht="13.2" x14ac:dyDescent="0.25">
      <c r="K956" s="6"/>
      <c r="L956" s="6"/>
      <c r="M956" s="6"/>
      <c r="N956" s="6"/>
    </row>
    <row r="957" spans="11:14" ht="13.2" x14ac:dyDescent="0.25">
      <c r="K957" s="6"/>
      <c r="L957" s="6"/>
      <c r="M957" s="6"/>
      <c r="N957" s="6"/>
    </row>
    <row r="958" spans="11:14" ht="13.2" x14ac:dyDescent="0.25">
      <c r="K958" s="6"/>
      <c r="L958" s="6"/>
      <c r="M958" s="6"/>
      <c r="N958" s="6"/>
    </row>
    <row r="959" spans="11:14" ht="13.2" x14ac:dyDescent="0.25">
      <c r="K959" s="6"/>
      <c r="L959" s="6"/>
      <c r="M959" s="6"/>
      <c r="N959" s="6"/>
    </row>
    <row r="960" spans="11:14" ht="13.2" x14ac:dyDescent="0.25">
      <c r="K960" s="6"/>
      <c r="L960" s="6"/>
      <c r="M960" s="6"/>
      <c r="N960" s="6"/>
    </row>
    <row r="961" spans="11:14" ht="13.2" x14ac:dyDescent="0.25">
      <c r="K961" s="6"/>
      <c r="L961" s="6"/>
      <c r="M961" s="6"/>
      <c r="N961" s="6"/>
    </row>
    <row r="962" spans="11:14" ht="13.2" x14ac:dyDescent="0.25">
      <c r="K962" s="6"/>
      <c r="L962" s="6"/>
      <c r="M962" s="6"/>
      <c r="N962" s="6"/>
    </row>
    <row r="963" spans="11:14" ht="13.2" x14ac:dyDescent="0.25">
      <c r="K963" s="6"/>
      <c r="L963" s="6"/>
      <c r="M963" s="6"/>
      <c r="N963" s="6"/>
    </row>
    <row r="964" spans="11:14" ht="13.2" x14ac:dyDescent="0.25">
      <c r="K964" s="6"/>
      <c r="L964" s="6"/>
      <c r="M964" s="6"/>
      <c r="N964" s="6"/>
    </row>
    <row r="965" spans="11:14" ht="13.2" x14ac:dyDescent="0.25">
      <c r="K965" s="6"/>
      <c r="L965" s="6"/>
      <c r="M965" s="6"/>
      <c r="N965" s="6"/>
    </row>
    <row r="966" spans="11:14" ht="13.2" x14ac:dyDescent="0.25">
      <c r="K966" s="6"/>
      <c r="L966" s="6"/>
      <c r="M966" s="6"/>
      <c r="N966" s="6"/>
    </row>
    <row r="967" spans="11:14" ht="13.2" x14ac:dyDescent="0.25">
      <c r="K967" s="6"/>
      <c r="L967" s="6"/>
      <c r="M967" s="6"/>
      <c r="N967" s="6"/>
    </row>
    <row r="968" spans="11:14" ht="13.2" x14ac:dyDescent="0.25">
      <c r="K968" s="6"/>
      <c r="L968" s="6"/>
      <c r="M968" s="6"/>
      <c r="N968" s="6"/>
    </row>
    <row r="969" spans="11:14" ht="13.2" x14ac:dyDescent="0.25">
      <c r="K969" s="6"/>
      <c r="L969" s="6"/>
      <c r="M969" s="6"/>
      <c r="N969" s="6"/>
    </row>
    <row r="970" spans="11:14" ht="13.2" x14ac:dyDescent="0.25">
      <c r="K970" s="6"/>
      <c r="L970" s="6"/>
      <c r="M970" s="6"/>
      <c r="N970" s="6"/>
    </row>
    <row r="971" spans="11:14" ht="13.2" x14ac:dyDescent="0.25">
      <c r="K971" s="6"/>
      <c r="L971" s="6"/>
      <c r="M971" s="6"/>
      <c r="N971" s="6"/>
    </row>
    <row r="972" spans="11:14" ht="13.2" x14ac:dyDescent="0.25">
      <c r="K972" s="6"/>
      <c r="L972" s="6"/>
      <c r="M972" s="6"/>
      <c r="N972" s="6"/>
    </row>
    <row r="973" spans="11:14" ht="13.2" x14ac:dyDescent="0.25">
      <c r="K973" s="6"/>
      <c r="L973" s="6"/>
      <c r="M973" s="6"/>
      <c r="N973" s="6"/>
    </row>
    <row r="974" spans="11:14" ht="13.2" x14ac:dyDescent="0.25">
      <c r="K974" s="6"/>
      <c r="L974" s="6"/>
      <c r="M974" s="6"/>
      <c r="N974" s="6"/>
    </row>
    <row r="975" spans="11:14" ht="13.2" x14ac:dyDescent="0.25">
      <c r="K975" s="6"/>
      <c r="L975" s="6"/>
      <c r="M975" s="6"/>
      <c r="N975" s="6"/>
    </row>
    <row r="976" spans="11:14" ht="13.2" x14ac:dyDescent="0.25">
      <c r="K976" s="6"/>
      <c r="L976" s="6"/>
      <c r="M976" s="6"/>
      <c r="N976" s="6"/>
    </row>
    <row r="977" spans="11:14" ht="13.2" x14ac:dyDescent="0.25">
      <c r="K977" s="6"/>
      <c r="L977" s="6"/>
      <c r="M977" s="6"/>
      <c r="N977" s="6"/>
    </row>
    <row r="978" spans="11:14" ht="13.2" x14ac:dyDescent="0.25">
      <c r="K978" s="6"/>
      <c r="L978" s="6"/>
      <c r="M978" s="6"/>
      <c r="N978" s="6"/>
    </row>
    <row r="979" spans="11:14" ht="13.2" x14ac:dyDescent="0.25">
      <c r="K979" s="6"/>
      <c r="L979" s="6"/>
      <c r="M979" s="6"/>
      <c r="N979" s="6"/>
    </row>
    <row r="980" spans="11:14" ht="13.2" x14ac:dyDescent="0.25">
      <c r="K980" s="6"/>
      <c r="L980" s="6"/>
      <c r="M980" s="6"/>
      <c r="N980" s="6"/>
    </row>
    <row r="981" spans="11:14" ht="13.2" x14ac:dyDescent="0.25">
      <c r="K981" s="6"/>
      <c r="L981" s="6"/>
      <c r="M981" s="6"/>
      <c r="N981" s="6"/>
    </row>
    <row r="982" spans="11:14" ht="13.2" x14ac:dyDescent="0.25">
      <c r="K982" s="6"/>
      <c r="L982" s="6"/>
      <c r="M982" s="6"/>
      <c r="N982" s="6"/>
    </row>
    <row r="983" spans="11:14" ht="13.2" x14ac:dyDescent="0.25">
      <c r="K983" s="6"/>
      <c r="L983" s="6"/>
      <c r="M983" s="6"/>
      <c r="N983" s="6"/>
    </row>
    <row r="984" spans="11:14" ht="13.2" x14ac:dyDescent="0.25">
      <c r="K984" s="6"/>
      <c r="L984" s="6"/>
      <c r="M984" s="6"/>
      <c r="N984" s="6"/>
    </row>
    <row r="985" spans="11:14" ht="13.2" x14ac:dyDescent="0.25">
      <c r="K985" s="6"/>
      <c r="L985" s="6"/>
      <c r="M985" s="6"/>
      <c r="N985" s="6"/>
    </row>
    <row r="986" spans="11:14" ht="13.2" x14ac:dyDescent="0.25">
      <c r="K986" s="6"/>
      <c r="L986" s="6"/>
      <c r="M986" s="6"/>
      <c r="N986" s="6"/>
    </row>
    <row r="987" spans="11:14" ht="13.2" x14ac:dyDescent="0.25">
      <c r="K987" s="6"/>
      <c r="L987" s="6"/>
      <c r="M987" s="6"/>
      <c r="N987" s="6"/>
    </row>
    <row r="988" spans="11:14" ht="13.2" x14ac:dyDescent="0.25">
      <c r="K988" s="6"/>
      <c r="L988" s="6"/>
      <c r="M988" s="6"/>
      <c r="N988" s="6"/>
    </row>
    <row r="989" spans="11:14" ht="13.2" x14ac:dyDescent="0.25">
      <c r="K989" s="6"/>
      <c r="L989" s="6"/>
      <c r="M989" s="6"/>
      <c r="N989" s="6"/>
    </row>
    <row r="990" spans="11:14" ht="13.2" x14ac:dyDescent="0.25">
      <c r="K990" s="6"/>
      <c r="L990" s="6"/>
      <c r="M990" s="6"/>
      <c r="N990" s="6"/>
    </row>
    <row r="991" spans="11:14" ht="13.2" x14ac:dyDescent="0.25">
      <c r="K991" s="6"/>
      <c r="L991" s="6"/>
      <c r="M991" s="6"/>
      <c r="N991" s="6"/>
    </row>
    <row r="992" spans="11:14" ht="13.2" x14ac:dyDescent="0.25">
      <c r="K992" s="6"/>
      <c r="L992" s="6"/>
      <c r="M992" s="6"/>
      <c r="N992" s="6"/>
    </row>
    <row r="993" spans="11:14" ht="13.2" x14ac:dyDescent="0.25">
      <c r="K993" s="6"/>
      <c r="L993" s="6"/>
      <c r="M993" s="6"/>
      <c r="N993" s="6"/>
    </row>
    <row r="994" spans="11:14" ht="13.2" x14ac:dyDescent="0.25">
      <c r="K994" s="6"/>
      <c r="L994" s="6"/>
      <c r="M994" s="6"/>
      <c r="N994" s="6"/>
    </row>
    <row r="995" spans="11:14" ht="13.2" x14ac:dyDescent="0.25">
      <c r="K995" s="6"/>
      <c r="L995" s="6"/>
      <c r="M995" s="6"/>
      <c r="N995" s="6"/>
    </row>
    <row r="996" spans="11:14" ht="13.2" x14ac:dyDescent="0.25">
      <c r="K996" s="6"/>
      <c r="L996" s="6"/>
      <c r="M996" s="6"/>
      <c r="N996" s="6"/>
    </row>
    <row r="997" spans="11:14" ht="13.2" x14ac:dyDescent="0.25">
      <c r="K997" s="6"/>
      <c r="L997" s="6"/>
      <c r="M997" s="6"/>
      <c r="N997" s="6"/>
    </row>
    <row r="998" spans="11:14" ht="13.2" x14ac:dyDescent="0.25">
      <c r="K998" s="6"/>
      <c r="L998" s="6"/>
      <c r="M998" s="6"/>
      <c r="N998" s="6"/>
    </row>
    <row r="999" spans="11:14" ht="13.2" x14ac:dyDescent="0.25">
      <c r="K999" s="6"/>
      <c r="L999" s="6"/>
      <c r="M999" s="6"/>
      <c r="N999" s="6"/>
    </row>
    <row r="1000" spans="11:14" ht="13.2" x14ac:dyDescent="0.25">
      <c r="K1000" s="6"/>
      <c r="L1000" s="6"/>
      <c r="M1000" s="6"/>
      <c r="N1000" s="6"/>
    </row>
    <row r="1001" spans="11:14" ht="13.2" x14ac:dyDescent="0.25">
      <c r="K1001" s="6"/>
      <c r="L1001" s="6"/>
      <c r="M1001" s="6"/>
      <c r="N1001" s="6"/>
    </row>
    <row r="1002" spans="11:14" ht="13.2" x14ac:dyDescent="0.25">
      <c r="K1002" s="6"/>
      <c r="L1002" s="6"/>
      <c r="M1002" s="6"/>
      <c r="N1002" s="6"/>
    </row>
    <row r="1003" spans="11:14" ht="13.2" x14ac:dyDescent="0.25">
      <c r="K1003" s="6"/>
      <c r="L1003" s="6"/>
      <c r="M1003" s="6"/>
      <c r="N1003" s="6"/>
    </row>
  </sheetData>
  <autoFilter ref="B4:U5" xr:uid="{00000000-0009-0000-0000-000001000000}">
    <sortState xmlns:xlrd2="http://schemas.microsoft.com/office/spreadsheetml/2017/richdata2" ref="B4:U5">
      <sortCondition ref="B4:B5"/>
    </sortState>
  </autoFilter>
  <mergeCells count="4">
    <mergeCell ref="B1:E1"/>
    <mergeCell ref="H1:K1"/>
    <mergeCell ref="B2:E2"/>
    <mergeCell ref="H2:K2"/>
  </mergeCells>
  <hyperlinks>
    <hyperlink ref="X8" r:id="rId1" display="https://drive.google.com/open?id=18DDU6w5CZgtu2LausQB5CRDSGi2ic4f_" xr:uid="{00000000-0004-0000-0100-000000000000}"/>
    <hyperlink ref="X9" r:id="rId2" display="https://drive.google.com/open?id=1RpB9f1VQRRY_guZiRPuj2zsvjwSLVDXL" xr:uid="{00000000-0004-0000-0100-000001000000}"/>
  </hyperlinks>
  <pageMargins left="0.7" right="0.7" top="0.75" bottom="0.75" header="0.3" footer="0.3"/>
  <pageSetup orientation="portrait" horizontalDpi="300" verticalDpi="300" r:id="rId3"/>
  <drawing r:id="rId4"/>
  <extLst>
    <ext xmlns:x14="http://schemas.microsoft.com/office/spreadsheetml/2009/9/main" uri="{CCE6A557-97BC-4b89-ADB6-D9C93CAAB3DF}">
      <x14:dataValidations xmlns:xm="http://schemas.microsoft.com/office/excel/2006/main" count="11">
        <x14:dataValidation type="list" allowBlank="1" xr:uid="{00000000-0002-0000-0100-000000000000}">
          <x14:formula1>
            <xm:f>'Dropdown lists'!$J$2:$J1005</xm:f>
          </x14:formula1>
          <xm:sqref>S5</xm:sqref>
        </x14:dataValidation>
        <x14:dataValidation type="list" allowBlank="1" xr:uid="{00000000-0002-0000-0100-000001000000}">
          <x14:formula1>
            <xm:f>'Dropdown lists'!$K$2:$K1005</xm:f>
          </x14:formula1>
          <xm:sqref>T5</xm:sqref>
        </x14:dataValidation>
        <x14:dataValidation type="list" allowBlank="1" xr:uid="{00000000-0002-0000-0100-000002000000}">
          <x14:formula1>
            <xm:f>'Dropdown lists'!$A$2:$A1005</xm:f>
          </x14:formula1>
          <xm:sqref>C5</xm:sqref>
        </x14:dataValidation>
        <x14:dataValidation type="list" allowBlank="1" xr:uid="{00000000-0002-0000-0100-000003000000}">
          <x14:formula1>
            <xm:f>'Dropdown lists'!$B$2:$B1005</xm:f>
          </x14:formula1>
          <xm:sqref>D5</xm:sqref>
        </x14:dataValidation>
        <x14:dataValidation type="list" allowBlank="1" xr:uid="{00000000-0002-0000-0100-000004000000}">
          <x14:formula1>
            <xm:f>'Dropdown lists'!$C$2:$C1005</xm:f>
          </x14:formula1>
          <xm:sqref>I5</xm:sqref>
        </x14:dataValidation>
        <x14:dataValidation type="list" allowBlank="1" xr:uid="{00000000-0002-0000-0100-000005000000}">
          <x14:formula1>
            <xm:f>'Dropdown lists'!$D$2:$D1005</xm:f>
          </x14:formula1>
          <xm:sqref>J5</xm:sqref>
        </x14:dataValidation>
        <x14:dataValidation type="list" allowBlank="1" xr:uid="{00000000-0002-0000-0100-000006000000}">
          <x14:formula1>
            <xm:f>'Dropdown lists'!$E$2:$E1005</xm:f>
          </x14:formula1>
          <xm:sqref>K5:L5</xm:sqref>
        </x14:dataValidation>
        <x14:dataValidation type="list" allowBlank="1" xr:uid="{00000000-0002-0000-0100-000007000000}">
          <x14:formula1>
            <xm:f>'Dropdown lists'!$F$2:$F1005</xm:f>
          </x14:formula1>
          <xm:sqref>M5</xm:sqref>
        </x14:dataValidation>
        <x14:dataValidation type="list" allowBlank="1" xr:uid="{00000000-0002-0000-0100-000008000000}">
          <x14:formula1>
            <xm:f>'Dropdown lists'!$G$2:$G1005</xm:f>
          </x14:formula1>
          <xm:sqref>N5</xm:sqref>
        </x14:dataValidation>
        <x14:dataValidation type="list" allowBlank="1" xr:uid="{00000000-0002-0000-0100-000009000000}">
          <x14:formula1>
            <xm:f>'Dropdown lists'!$H$2:$H1005</xm:f>
          </x14:formula1>
          <xm:sqref>O5</xm:sqref>
        </x14:dataValidation>
        <x14:dataValidation type="list" allowBlank="1" xr:uid="{00000000-0002-0000-0100-00000A000000}">
          <x14:formula1>
            <xm:f>'Dropdown lists'!$I$2:$I1005</xm:f>
          </x14:formula1>
          <xm:sqref>P5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24"/>
  <sheetViews>
    <sheetView workbookViewId="0"/>
  </sheetViews>
  <sheetFormatPr defaultColWidth="12.6640625" defaultRowHeight="15.75" customHeight="1" x14ac:dyDescent="0.25"/>
  <sheetData>
    <row r="1" spans="1:11" x14ac:dyDescent="0.25">
      <c r="A1" s="5" t="s">
        <v>1</v>
      </c>
      <c r="B1" s="5" t="s">
        <v>2</v>
      </c>
      <c r="C1" s="5" t="s">
        <v>51</v>
      </c>
      <c r="D1" s="5" t="s">
        <v>52</v>
      </c>
      <c r="E1" s="5" t="s">
        <v>53</v>
      </c>
      <c r="F1" s="5" t="s">
        <v>54</v>
      </c>
      <c r="G1" s="5" t="s">
        <v>4</v>
      </c>
      <c r="H1" s="5" t="s">
        <v>5</v>
      </c>
      <c r="I1" s="5" t="s">
        <v>6</v>
      </c>
      <c r="J1" s="5" t="s">
        <v>7</v>
      </c>
      <c r="K1" s="5" t="s">
        <v>8</v>
      </c>
    </row>
    <row r="2" spans="1:11" x14ac:dyDescent="0.25">
      <c r="A2" s="5" t="s">
        <v>55</v>
      </c>
      <c r="B2" s="5" t="s">
        <v>56</v>
      </c>
      <c r="C2" s="5" t="s">
        <v>11</v>
      </c>
      <c r="D2" s="5" t="s">
        <v>11</v>
      </c>
      <c r="E2" s="5" t="s">
        <v>57</v>
      </c>
      <c r="F2" s="5" t="s">
        <v>58</v>
      </c>
      <c r="G2" s="5" t="s">
        <v>59</v>
      </c>
      <c r="H2" s="5" t="s">
        <v>13</v>
      </c>
      <c r="I2" s="5" t="s">
        <v>17</v>
      </c>
      <c r="J2" s="13" t="s">
        <v>22</v>
      </c>
      <c r="K2" s="5" t="s">
        <v>15</v>
      </c>
    </row>
    <row r="3" spans="1:11" x14ac:dyDescent="0.25">
      <c r="A3" s="5" t="s">
        <v>60</v>
      </c>
      <c r="B3" s="5" t="s">
        <v>61</v>
      </c>
      <c r="C3" s="5" t="s">
        <v>12</v>
      </c>
      <c r="D3" s="5" t="s">
        <v>12</v>
      </c>
      <c r="E3" s="5" t="s">
        <v>62</v>
      </c>
      <c r="F3" s="5" t="s">
        <v>63</v>
      </c>
      <c r="G3" s="5" t="s">
        <v>64</v>
      </c>
      <c r="H3" s="5" t="s">
        <v>21</v>
      </c>
      <c r="I3" s="5" t="s">
        <v>65</v>
      </c>
      <c r="J3" s="13" t="s">
        <v>14</v>
      </c>
      <c r="K3" s="5" t="s">
        <v>66</v>
      </c>
    </row>
    <row r="4" spans="1:11" x14ac:dyDescent="0.25">
      <c r="A4" s="5" t="s">
        <v>67</v>
      </c>
      <c r="B4" s="5" t="s">
        <v>24</v>
      </c>
      <c r="D4" s="5"/>
      <c r="E4" s="5" t="s">
        <v>68</v>
      </c>
      <c r="F4" s="5" t="s">
        <v>69</v>
      </c>
      <c r="G4" s="5" t="s">
        <v>70</v>
      </c>
      <c r="H4" s="5" t="s">
        <v>25</v>
      </c>
      <c r="I4" s="5" t="s">
        <v>71</v>
      </c>
      <c r="J4" s="13" t="s">
        <v>18</v>
      </c>
    </row>
    <row r="5" spans="1:11" x14ac:dyDescent="0.25">
      <c r="A5" s="5" t="s">
        <v>72</v>
      </c>
      <c r="B5" s="5" t="s">
        <v>73</v>
      </c>
      <c r="D5" s="5"/>
      <c r="E5" s="5" t="s">
        <v>74</v>
      </c>
      <c r="F5" s="5" t="s">
        <v>75</v>
      </c>
      <c r="G5" s="5" t="s">
        <v>76</v>
      </c>
      <c r="H5" s="5" t="s">
        <v>28</v>
      </c>
      <c r="I5" s="5" t="s">
        <v>77</v>
      </c>
    </row>
    <row r="6" spans="1:11" x14ac:dyDescent="0.25">
      <c r="A6" s="5" t="s">
        <v>9</v>
      </c>
      <c r="B6" s="5" t="s">
        <v>10</v>
      </c>
      <c r="D6" s="5"/>
      <c r="E6" s="5" t="s">
        <v>78</v>
      </c>
      <c r="F6" s="5" t="s">
        <v>79</v>
      </c>
      <c r="G6" s="5" t="s">
        <v>80</v>
      </c>
      <c r="I6" s="5" t="s">
        <v>81</v>
      </c>
    </row>
    <row r="7" spans="1:11" x14ac:dyDescent="0.25">
      <c r="A7" s="5" t="s">
        <v>16</v>
      </c>
      <c r="B7" s="5" t="s">
        <v>32</v>
      </c>
      <c r="D7" s="5"/>
      <c r="E7" s="5" t="s">
        <v>82</v>
      </c>
      <c r="G7" s="5" t="s">
        <v>83</v>
      </c>
      <c r="I7" s="5" t="s">
        <v>84</v>
      </c>
    </row>
    <row r="8" spans="1:11" x14ac:dyDescent="0.25">
      <c r="A8" s="5" t="s">
        <v>19</v>
      </c>
      <c r="B8" s="5" t="s">
        <v>20</v>
      </c>
      <c r="D8" s="5"/>
      <c r="E8" s="5" t="s">
        <v>85</v>
      </c>
      <c r="G8" s="5" t="s">
        <v>86</v>
      </c>
    </row>
    <row r="9" spans="1:11" x14ac:dyDescent="0.25">
      <c r="A9" s="5" t="s">
        <v>87</v>
      </c>
      <c r="B9" s="5" t="s">
        <v>23</v>
      </c>
      <c r="D9" s="5"/>
      <c r="E9" s="5" t="s">
        <v>88</v>
      </c>
      <c r="G9" s="5" t="s">
        <v>89</v>
      </c>
    </row>
    <row r="10" spans="1:11" x14ac:dyDescent="0.25">
      <c r="A10" s="5" t="s">
        <v>90</v>
      </c>
      <c r="B10" s="5" t="s">
        <v>91</v>
      </c>
      <c r="D10" s="5"/>
      <c r="E10" s="5" t="s">
        <v>92</v>
      </c>
      <c r="G10" s="5" t="s">
        <v>93</v>
      </c>
    </row>
    <row r="11" spans="1:11" x14ac:dyDescent="0.25">
      <c r="A11" s="5" t="s">
        <v>94</v>
      </c>
      <c r="B11" s="5" t="s">
        <v>26</v>
      </c>
      <c r="D11" s="5"/>
      <c r="E11" s="5" t="s">
        <v>95</v>
      </c>
      <c r="G11" s="5" t="s">
        <v>96</v>
      </c>
    </row>
    <row r="12" spans="1:11" x14ac:dyDescent="0.25">
      <c r="A12" s="5" t="s">
        <v>97</v>
      </c>
      <c r="B12" s="5" t="s">
        <v>98</v>
      </c>
      <c r="D12" s="5"/>
      <c r="E12" s="5" t="s">
        <v>99</v>
      </c>
      <c r="G12" s="5" t="s">
        <v>100</v>
      </c>
    </row>
    <row r="13" spans="1:11" x14ac:dyDescent="0.25">
      <c r="A13" s="5" t="s">
        <v>101</v>
      </c>
      <c r="B13" s="5" t="s">
        <v>102</v>
      </c>
      <c r="D13" s="5"/>
      <c r="E13" s="5" t="s">
        <v>103</v>
      </c>
      <c r="G13" s="5" t="s">
        <v>104</v>
      </c>
    </row>
    <row r="14" spans="1:11" x14ac:dyDescent="0.25">
      <c r="A14" s="5" t="s">
        <v>105</v>
      </c>
      <c r="B14" s="5" t="s">
        <v>31</v>
      </c>
      <c r="D14" s="5"/>
      <c r="E14" s="5" t="s">
        <v>106</v>
      </c>
      <c r="G14" s="5" t="s">
        <v>107</v>
      </c>
    </row>
    <row r="15" spans="1:11" x14ac:dyDescent="0.25">
      <c r="A15" s="14" t="s">
        <v>108</v>
      </c>
      <c r="B15" s="5" t="s">
        <v>33</v>
      </c>
      <c r="D15" s="5"/>
      <c r="E15" s="5" t="s">
        <v>109</v>
      </c>
      <c r="G15" s="5" t="s">
        <v>110</v>
      </c>
    </row>
    <row r="16" spans="1:11" x14ac:dyDescent="0.25">
      <c r="A16" s="2" t="s">
        <v>111</v>
      </c>
      <c r="B16" s="5" t="s">
        <v>27</v>
      </c>
      <c r="D16" s="5"/>
      <c r="E16" s="5" t="s">
        <v>35</v>
      </c>
      <c r="G16" s="5" t="s">
        <v>112</v>
      </c>
    </row>
    <row r="17" spans="1:7" x14ac:dyDescent="0.25">
      <c r="A17" s="14" t="s">
        <v>113</v>
      </c>
      <c r="B17" s="5" t="s">
        <v>29</v>
      </c>
      <c r="D17" s="5"/>
      <c r="E17" s="5" t="s">
        <v>114</v>
      </c>
      <c r="G17" s="5" t="s">
        <v>115</v>
      </c>
    </row>
    <row r="18" spans="1:7" x14ac:dyDescent="0.25">
      <c r="B18" s="5" t="s">
        <v>30</v>
      </c>
      <c r="D18" s="5"/>
      <c r="E18" s="5" t="s">
        <v>116</v>
      </c>
      <c r="G18" s="5" t="s">
        <v>117</v>
      </c>
    </row>
    <row r="19" spans="1:7" x14ac:dyDescent="0.25">
      <c r="B19" s="5" t="s">
        <v>34</v>
      </c>
      <c r="D19" s="5"/>
      <c r="E19" s="5" t="s">
        <v>118</v>
      </c>
      <c r="G19" s="5" t="s">
        <v>119</v>
      </c>
    </row>
    <row r="20" spans="1:7" x14ac:dyDescent="0.25">
      <c r="G20" s="5" t="s">
        <v>120</v>
      </c>
    </row>
    <row r="21" spans="1:7" x14ac:dyDescent="0.25">
      <c r="G21" s="5" t="s">
        <v>121</v>
      </c>
    </row>
    <row r="23" spans="1:7" x14ac:dyDescent="0.25">
      <c r="G23" s="5" t="s">
        <v>122</v>
      </c>
    </row>
    <row r="24" spans="1:7" x14ac:dyDescent="0.25">
      <c r="G24" s="5" t="s">
        <v>123</v>
      </c>
    </row>
  </sheetData>
  <customSheetViews>
    <customSheetView guid="{22FA5853-0C77-41C2-9510-65A8AD1942F6}" filter="1" showAutoFilter="1">
      <pageMargins left="0.7" right="0.7" top="0.75" bottom="0.75" header="0.3" footer="0.3"/>
      <autoFilter ref="A1:K24" xr:uid="{F87FA48A-4E03-4F8B-8DCE-F79CC9B03663}">
        <filterColumn colId="4">
          <filters>
            <filter val="Department of Agriculture"/>
          </filters>
        </filterColumn>
      </autoFilter>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B1DA33FD56764D86E4086F01DC52E2" ma:contentTypeVersion="13" ma:contentTypeDescription="Create a new document." ma:contentTypeScope="" ma:versionID="dfd8148f569f47d43603eef695442d61">
  <xsd:schema xmlns:xsd="http://www.w3.org/2001/XMLSchema" xmlns:xs="http://www.w3.org/2001/XMLSchema" xmlns:p="http://schemas.microsoft.com/office/2006/metadata/properties" xmlns:ns2="82b2b683-15cb-4252-b1a0-40ad927cdab8" xmlns:ns3="7520a030-84db-45bc-8a1b-d45f4d9a7d37" targetNamespace="http://schemas.microsoft.com/office/2006/metadata/properties" ma:root="true" ma:fieldsID="5cbd6904b7083019dfebe71355ecad94" ns2:_="" ns3:_="">
    <xsd:import namespace="82b2b683-15cb-4252-b1a0-40ad927cdab8"/>
    <xsd:import namespace="7520a030-84db-45bc-8a1b-d45f4d9a7d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2b683-15cb-4252-b1a0-40ad927cd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b7dfa52-64a0-4ef7-8fb7-7fa8f26dadf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20a030-84db-45bc-8a1b-d45f4d9a7d3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63d47a4-5dec-4fb8-a12a-766c0f4089d5}" ma:internalName="TaxCatchAll" ma:showField="CatchAllData" ma:web="7520a030-84db-45bc-8a1b-d45f4d9a7d3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520a030-84db-45bc-8a1b-d45f4d9a7d37" xsi:nil="true"/>
    <lcf76f155ced4ddcb4097134ff3c332f xmlns="82b2b683-15cb-4252-b1a0-40ad927cda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DD0075-BB8D-4C3E-9154-379C8515B092}"/>
</file>

<file path=customXml/itemProps2.xml><?xml version="1.0" encoding="utf-8"?>
<ds:datastoreItem xmlns:ds="http://schemas.openxmlformats.org/officeDocument/2006/customXml" ds:itemID="{376BBEA5-99A0-4A0A-9343-36C442033CF0}"/>
</file>

<file path=customXml/itemProps3.xml><?xml version="1.0" encoding="utf-8"?>
<ds:datastoreItem xmlns:ds="http://schemas.openxmlformats.org/officeDocument/2006/customXml" ds:itemID="{9D7023F3-399D-49BD-8645-F1894EF1B9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Grant Writer Roster</vt:lpstr>
      <vt:lpstr>Dropdown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Draheim</dc:creator>
  <cp:lastModifiedBy>Shanna Draheim</cp:lastModifiedBy>
  <dcterms:created xsi:type="dcterms:W3CDTF">2023-06-27T14:46:04Z</dcterms:created>
  <dcterms:modified xsi:type="dcterms:W3CDTF">2023-06-27T14:48:50Z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0x010100D2B1DA33FD56764D86E4086F01DC52E2</vt:lpwstr>
  </property>
</Properties>
</file>